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Rate Proceedings\2022 Natural Gas\MFR Backup\G Schedules\G-2 NOI\G2-22 Common Depreciation\"/>
    </mc:Choice>
  </mc:AlternateContent>
  <bookViews>
    <workbookView xWindow="0" yWindow="0" windowWidth="19200" windowHeight="5250" firstSheet="10" activeTab="10"/>
  </bookViews>
  <sheets>
    <sheet name="working capital and def tax 21" sheetId="1" r:id="rId1"/>
    <sheet name="WC def tax 22" sheetId="6" r:id="rId2"/>
    <sheet name="WC def tax 23" sheetId="7" r:id="rId3"/>
    <sheet name="FC common plant 21" sheetId="3" r:id="rId4"/>
    <sheet name="FC Common pl 22" sheetId="8" r:id="rId5"/>
    <sheet name="FC common pl 23" sheetId="9" r:id="rId6"/>
    <sheet name="FC depreciation adjustment 21" sheetId="4" r:id="rId7"/>
    <sheet name="FC depreciation adjustment 22" sheetId="10" r:id="rId8"/>
    <sheet name="FC depreciation adjustment 23" sheetId="11" r:id="rId9"/>
    <sheet name="Corporate and Skipjack Alloc 21" sheetId="5" r:id="rId10"/>
    <sheet name="CU and Skipjack 22" sheetId="12" r:id="rId11"/>
    <sheet name="CU and Skipjack 23" sheetId="13" r:id="rId12"/>
    <sheet name="Allocation Factors 21" sheetId="14" r:id="rId13"/>
    <sheet name="Allocation Factors 22" sheetId="15" r:id="rId14"/>
    <sheet name="Allocation Factors 23" sheetId="16" r:id="rId15"/>
  </sheets>
  <externalReferences>
    <externalReference r:id="rId1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13" l="1"/>
  <c r="N65" i="13"/>
  <c r="M65" i="13"/>
  <c r="L65" i="13"/>
  <c r="K65" i="13"/>
  <c r="J65" i="13"/>
  <c r="I65" i="13"/>
  <c r="H65" i="13"/>
  <c r="G65" i="13"/>
  <c r="F65" i="13"/>
  <c r="E65" i="13"/>
  <c r="D65" i="13"/>
  <c r="C65" i="13"/>
  <c r="O64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C63" i="13"/>
  <c r="O62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C61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O65" i="12"/>
  <c r="N65" i="12"/>
  <c r="M65" i="12"/>
  <c r="L65" i="12"/>
  <c r="K65" i="12"/>
  <c r="J65" i="12"/>
  <c r="I65" i="12"/>
  <c r="H65" i="12"/>
  <c r="G65" i="12"/>
  <c r="F65" i="12"/>
  <c r="E65" i="12"/>
  <c r="D65" i="12"/>
  <c r="C65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C63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P101" i="6" l="1"/>
  <c r="Q101" i="6" s="1"/>
  <c r="C133" i="6" l="1"/>
  <c r="D133" i="6"/>
  <c r="E133" i="6"/>
  <c r="F133" i="6"/>
  <c r="G133" i="6"/>
  <c r="H133" i="6"/>
  <c r="I133" i="6"/>
  <c r="J133" i="6"/>
  <c r="K133" i="6"/>
  <c r="L133" i="6"/>
  <c r="M133" i="6"/>
  <c r="N133" i="6"/>
  <c r="O133" i="6"/>
  <c r="C264" i="7" l="1"/>
  <c r="C263" i="7"/>
  <c r="C262" i="7"/>
  <c r="C266" i="7" s="1"/>
  <c r="C255" i="7"/>
  <c r="C250" i="7"/>
  <c r="C249" i="7"/>
  <c r="C248" i="7"/>
  <c r="C247" i="7"/>
  <c r="P247" i="7" s="1"/>
  <c r="Q247" i="7" s="1"/>
  <c r="C246" i="7"/>
  <c r="C245" i="7"/>
  <c r="C240" i="7"/>
  <c r="C239" i="7"/>
  <c r="C234" i="7"/>
  <c r="C233" i="7"/>
  <c r="C232" i="7"/>
  <c r="P232" i="7" s="1"/>
  <c r="Q232" i="7" s="1"/>
  <c r="C231" i="7"/>
  <c r="P231" i="7" s="1"/>
  <c r="Q231" i="7" s="1"/>
  <c r="C230" i="7"/>
  <c r="C229" i="7"/>
  <c r="C228" i="7"/>
  <c r="P228" i="7" s="1"/>
  <c r="Q228" i="7" s="1"/>
  <c r="X228" i="7" s="1"/>
  <c r="C227" i="7"/>
  <c r="P227" i="7" s="1"/>
  <c r="Q227" i="7" s="1"/>
  <c r="C226" i="7"/>
  <c r="C225" i="7"/>
  <c r="C224" i="7"/>
  <c r="C223" i="7"/>
  <c r="P223" i="7" s="1"/>
  <c r="Q223" i="7" s="1"/>
  <c r="C222" i="7"/>
  <c r="C221" i="7"/>
  <c r="P221" i="7" s="1"/>
  <c r="Q221" i="7" s="1"/>
  <c r="Y221" i="7" s="1"/>
  <c r="C220" i="7"/>
  <c r="C219" i="7"/>
  <c r="P219" i="7" s="1"/>
  <c r="Q219" i="7" s="1"/>
  <c r="V219" i="7" s="1"/>
  <c r="C211" i="7"/>
  <c r="C210" i="7"/>
  <c r="C209" i="7"/>
  <c r="C208" i="7"/>
  <c r="P208" i="7" s="1"/>
  <c r="Q208" i="7" s="1"/>
  <c r="C207" i="7"/>
  <c r="C206" i="7"/>
  <c r="C201" i="7"/>
  <c r="C200" i="7"/>
  <c r="C199" i="7"/>
  <c r="P199" i="7" s="1"/>
  <c r="Q199" i="7" s="1"/>
  <c r="C198" i="7"/>
  <c r="C193" i="7"/>
  <c r="C192" i="7"/>
  <c r="C191" i="7"/>
  <c r="P191" i="7" s="1"/>
  <c r="Q191" i="7" s="1"/>
  <c r="W191" i="7" s="1"/>
  <c r="C190" i="7"/>
  <c r="C189" i="7"/>
  <c r="C188" i="7"/>
  <c r="C183" i="7"/>
  <c r="C182" i="7"/>
  <c r="C177" i="7"/>
  <c r="C176" i="7"/>
  <c r="C175" i="7"/>
  <c r="P175" i="7" s="1"/>
  <c r="Q175" i="7" s="1"/>
  <c r="C174" i="7"/>
  <c r="P174" i="7" s="1"/>
  <c r="Q174" i="7" s="1"/>
  <c r="Y174" i="7" s="1"/>
  <c r="C173" i="7"/>
  <c r="C172" i="7"/>
  <c r="C171" i="7"/>
  <c r="C170" i="7"/>
  <c r="C156" i="7"/>
  <c r="C155" i="7"/>
  <c r="C150" i="7"/>
  <c r="C141" i="7"/>
  <c r="C136" i="7"/>
  <c r="C135" i="7"/>
  <c r="C130" i="7"/>
  <c r="C129" i="7"/>
  <c r="C128" i="7"/>
  <c r="C127" i="7"/>
  <c r="P127" i="7" s="1"/>
  <c r="Q127" i="7" s="1"/>
  <c r="C126" i="7"/>
  <c r="C125" i="7"/>
  <c r="C124" i="7"/>
  <c r="C123" i="7"/>
  <c r="P123" i="7" s="1"/>
  <c r="Q123" i="7" s="1"/>
  <c r="C122" i="7"/>
  <c r="C121" i="7"/>
  <c r="C120" i="7"/>
  <c r="C119" i="7"/>
  <c r="P119" i="7" s="1"/>
  <c r="Q119" i="7" s="1"/>
  <c r="C118" i="7"/>
  <c r="C117" i="7"/>
  <c r="C116" i="7"/>
  <c r="C115" i="7"/>
  <c r="P115" i="7" s="1"/>
  <c r="Q115" i="7" s="1"/>
  <c r="C114" i="7"/>
  <c r="C113" i="7"/>
  <c r="C112" i="7"/>
  <c r="C111" i="7"/>
  <c r="P111" i="7" s="1"/>
  <c r="Q111" i="7" s="1"/>
  <c r="C110" i="7"/>
  <c r="C109" i="7"/>
  <c r="C108" i="7"/>
  <c r="C107" i="7"/>
  <c r="P107" i="7" s="1"/>
  <c r="Q107" i="7" s="1"/>
  <c r="C106" i="7"/>
  <c r="C105" i="7"/>
  <c r="C104" i="7"/>
  <c r="C103" i="7"/>
  <c r="P103" i="7" s="1"/>
  <c r="Q103" i="7" s="1"/>
  <c r="C102" i="7"/>
  <c r="C101" i="7"/>
  <c r="C100" i="7"/>
  <c r="C99" i="7"/>
  <c r="P99" i="7" s="1"/>
  <c r="Q99" i="7" s="1"/>
  <c r="C98" i="7"/>
  <c r="C97" i="7"/>
  <c r="C96" i="7"/>
  <c r="C95" i="7"/>
  <c r="C132" i="7" s="1"/>
  <c r="C90" i="7"/>
  <c r="C89" i="7"/>
  <c r="C84" i="7"/>
  <c r="C83" i="7"/>
  <c r="C82" i="7"/>
  <c r="C77" i="7"/>
  <c r="C76" i="7"/>
  <c r="C75" i="7"/>
  <c r="P75" i="7" s="1"/>
  <c r="Q75" i="7" s="1"/>
  <c r="C74" i="7"/>
  <c r="C73" i="7"/>
  <c r="C64" i="7"/>
  <c r="C63" i="7"/>
  <c r="C62" i="7"/>
  <c r="C61" i="7"/>
  <c r="C60" i="7"/>
  <c r="C59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3" i="7"/>
  <c r="C17" i="7"/>
  <c r="C18" i="7"/>
  <c r="C19" i="7"/>
  <c r="C20" i="7"/>
  <c r="P20" i="7" s="1"/>
  <c r="Q20" i="7" s="1"/>
  <c r="C21" i="7"/>
  <c r="C22" i="7"/>
  <c r="C23" i="7"/>
  <c r="P23" i="7" s="1"/>
  <c r="Q23" i="7" s="1"/>
  <c r="C24" i="7"/>
  <c r="P24" i="7" s="1"/>
  <c r="Q24" i="7" s="1"/>
  <c r="C25" i="7"/>
  <c r="C26" i="7"/>
  <c r="C27" i="7"/>
  <c r="P27" i="7" s="1"/>
  <c r="Q27" i="7" s="1"/>
  <c r="C28" i="7"/>
  <c r="P28" i="7" s="1"/>
  <c r="Q28" i="7" s="1"/>
  <c r="C16" i="7"/>
  <c r="O266" i="7"/>
  <c r="N266" i="7"/>
  <c r="M266" i="7"/>
  <c r="L266" i="7"/>
  <c r="K266" i="7"/>
  <c r="J266" i="7"/>
  <c r="I266" i="7"/>
  <c r="H266" i="7"/>
  <c r="G266" i="7"/>
  <c r="F266" i="7"/>
  <c r="E266" i="7"/>
  <c r="D266" i="7"/>
  <c r="P264" i="7"/>
  <c r="Q264" i="7" s="1"/>
  <c r="P263" i="7"/>
  <c r="Q263" i="7" s="1"/>
  <c r="P262" i="7"/>
  <c r="Q262" i="7" s="1"/>
  <c r="AG255" i="7"/>
  <c r="AF255" i="7"/>
  <c r="AE255" i="7"/>
  <c r="AD255" i="7"/>
  <c r="AC255" i="7"/>
  <c r="AB255" i="7"/>
  <c r="P255" i="7"/>
  <c r="Q255" i="7" s="1"/>
  <c r="O252" i="7"/>
  <c r="N252" i="7"/>
  <c r="M252" i="7"/>
  <c r="L252" i="7"/>
  <c r="K252" i="7"/>
  <c r="J252" i="7"/>
  <c r="I252" i="7"/>
  <c r="H252" i="7"/>
  <c r="G252" i="7"/>
  <c r="F252" i="7"/>
  <c r="E252" i="7"/>
  <c r="D252" i="7"/>
  <c r="C252" i="7"/>
  <c r="AG250" i="7"/>
  <c r="AF250" i="7"/>
  <c r="AE250" i="7"/>
  <c r="AD250" i="7"/>
  <c r="AC250" i="7"/>
  <c r="AB250" i="7"/>
  <c r="P250" i="7"/>
  <c r="Q250" i="7" s="1"/>
  <c r="V250" i="7" s="1"/>
  <c r="AG249" i="7"/>
  <c r="AF249" i="7"/>
  <c r="AE249" i="7"/>
  <c r="AD249" i="7"/>
  <c r="AC249" i="7"/>
  <c r="AB249" i="7"/>
  <c r="P249" i="7"/>
  <c r="Q249" i="7" s="1"/>
  <c r="V249" i="7" s="1"/>
  <c r="AG248" i="7"/>
  <c r="AF248" i="7"/>
  <c r="AE248" i="7"/>
  <c r="AD248" i="7"/>
  <c r="AC248" i="7"/>
  <c r="AB248" i="7"/>
  <c r="P248" i="7"/>
  <c r="Q248" i="7" s="1"/>
  <c r="AG247" i="7"/>
  <c r="AF247" i="7"/>
  <c r="AE247" i="7"/>
  <c r="AD247" i="7"/>
  <c r="AC247" i="7"/>
  <c r="AB247" i="7"/>
  <c r="AG246" i="7"/>
  <c r="AF246" i="7"/>
  <c r="AE246" i="7"/>
  <c r="AD246" i="7"/>
  <c r="AC246" i="7"/>
  <c r="AB246" i="7"/>
  <c r="P246" i="7"/>
  <c r="Q246" i="7" s="1"/>
  <c r="AG245" i="7"/>
  <c r="AF245" i="7"/>
  <c r="AE245" i="7"/>
  <c r="AD245" i="7"/>
  <c r="AC245" i="7"/>
  <c r="AB245" i="7"/>
  <c r="P245" i="7"/>
  <c r="C242" i="7"/>
  <c r="D240" i="7"/>
  <c r="E240" i="7" s="1"/>
  <c r="F240" i="7" s="1"/>
  <c r="G240" i="7" s="1"/>
  <c r="H240" i="7" s="1"/>
  <c r="I240" i="7" s="1"/>
  <c r="J240" i="7" s="1"/>
  <c r="K240" i="7" s="1"/>
  <c r="L240" i="7" s="1"/>
  <c r="M240" i="7" s="1"/>
  <c r="N240" i="7" s="1"/>
  <c r="O240" i="7" s="1"/>
  <c r="D239" i="7"/>
  <c r="E239" i="7" s="1"/>
  <c r="O236" i="7"/>
  <c r="N236" i="7"/>
  <c r="M236" i="7"/>
  <c r="L236" i="7"/>
  <c r="K236" i="7"/>
  <c r="J236" i="7"/>
  <c r="I236" i="7"/>
  <c r="H236" i="7"/>
  <c r="G236" i="7"/>
  <c r="F236" i="7"/>
  <c r="E236" i="7"/>
  <c r="D236" i="7"/>
  <c r="AG234" i="7"/>
  <c r="AF234" i="7"/>
  <c r="AE234" i="7"/>
  <c r="AD234" i="7"/>
  <c r="AC234" i="7"/>
  <c r="AB234" i="7"/>
  <c r="P234" i="7"/>
  <c r="Q234" i="7" s="1"/>
  <c r="Y234" i="7" s="1"/>
  <c r="AG233" i="7"/>
  <c r="AF233" i="7"/>
  <c r="AE233" i="7"/>
  <c r="AD233" i="7"/>
  <c r="AC233" i="7"/>
  <c r="AB233" i="7"/>
  <c r="P233" i="7"/>
  <c r="Q233" i="7" s="1"/>
  <c r="W233" i="7" s="1"/>
  <c r="AG232" i="7"/>
  <c r="AF232" i="7"/>
  <c r="AE232" i="7"/>
  <c r="AD232" i="7"/>
  <c r="AC232" i="7"/>
  <c r="AB232" i="7"/>
  <c r="AG231" i="7"/>
  <c r="AF231" i="7"/>
  <c r="AE231" i="7"/>
  <c r="AD231" i="7"/>
  <c r="AC231" i="7"/>
  <c r="AB231" i="7"/>
  <c r="AG230" i="7"/>
  <c r="AF230" i="7"/>
  <c r="AE230" i="7"/>
  <c r="AD230" i="7"/>
  <c r="AC230" i="7"/>
  <c r="AB230" i="7"/>
  <c r="P230" i="7"/>
  <c r="Q230" i="7" s="1"/>
  <c r="V230" i="7" s="1"/>
  <c r="AG229" i="7"/>
  <c r="AF229" i="7"/>
  <c r="AE229" i="7"/>
  <c r="AD229" i="7"/>
  <c r="AC229" i="7"/>
  <c r="AB229" i="7"/>
  <c r="P229" i="7"/>
  <c r="Q229" i="7" s="1"/>
  <c r="Y229" i="7" s="1"/>
  <c r="AG228" i="7"/>
  <c r="AF228" i="7"/>
  <c r="AE228" i="7"/>
  <c r="AD228" i="7"/>
  <c r="AC228" i="7"/>
  <c r="AB228" i="7"/>
  <c r="AG227" i="7"/>
  <c r="AF227" i="7"/>
  <c r="AE227" i="7"/>
  <c r="AD227" i="7"/>
  <c r="AC227" i="7"/>
  <c r="AB227" i="7"/>
  <c r="AG226" i="7"/>
  <c r="AF226" i="7"/>
  <c r="AE226" i="7"/>
  <c r="AD226" i="7"/>
  <c r="AC226" i="7"/>
  <c r="AB226" i="7"/>
  <c r="P226" i="7"/>
  <c r="Q226" i="7" s="1"/>
  <c r="AG225" i="7"/>
  <c r="AF225" i="7"/>
  <c r="AE225" i="7"/>
  <c r="AD225" i="7"/>
  <c r="AC225" i="7"/>
  <c r="AB225" i="7"/>
  <c r="P225" i="7"/>
  <c r="Q225" i="7" s="1"/>
  <c r="Y225" i="7" s="1"/>
  <c r="AG224" i="7"/>
  <c r="AF224" i="7"/>
  <c r="AE224" i="7"/>
  <c r="AD224" i="7"/>
  <c r="AC224" i="7"/>
  <c r="AB224" i="7"/>
  <c r="P224" i="7"/>
  <c r="Q224" i="7" s="1"/>
  <c r="X224" i="7" s="1"/>
  <c r="AG223" i="7"/>
  <c r="AF223" i="7"/>
  <c r="AE223" i="7"/>
  <c r="AD223" i="7"/>
  <c r="AC223" i="7"/>
  <c r="AB223" i="7"/>
  <c r="AG222" i="7"/>
  <c r="AF222" i="7"/>
  <c r="AE222" i="7"/>
  <c r="AD222" i="7"/>
  <c r="AC222" i="7"/>
  <c r="AB222" i="7"/>
  <c r="P222" i="7"/>
  <c r="Q222" i="7" s="1"/>
  <c r="V222" i="7" s="1"/>
  <c r="AG221" i="7"/>
  <c r="AF221" i="7"/>
  <c r="AE221" i="7"/>
  <c r="AD221" i="7"/>
  <c r="AC221" i="7"/>
  <c r="AB221" i="7"/>
  <c r="AG220" i="7"/>
  <c r="AF220" i="7"/>
  <c r="AE220" i="7"/>
  <c r="AD220" i="7"/>
  <c r="AC220" i="7"/>
  <c r="AB220" i="7"/>
  <c r="P220" i="7"/>
  <c r="Q220" i="7" s="1"/>
  <c r="AG219" i="7"/>
  <c r="AF219" i="7"/>
  <c r="AE219" i="7"/>
  <c r="AD219" i="7"/>
  <c r="AB219" i="7"/>
  <c r="O213" i="7"/>
  <c r="N213" i="7"/>
  <c r="M213" i="7"/>
  <c r="L213" i="7"/>
  <c r="K213" i="7"/>
  <c r="J213" i="7"/>
  <c r="I213" i="7"/>
  <c r="H213" i="7"/>
  <c r="G213" i="7"/>
  <c r="F213" i="7"/>
  <c r="E213" i="7"/>
  <c r="D213" i="7"/>
  <c r="C213" i="7"/>
  <c r="AG211" i="7"/>
  <c r="AF211" i="7"/>
  <c r="AE211" i="7"/>
  <c r="AD211" i="7"/>
  <c r="AC211" i="7"/>
  <c r="AB211" i="7"/>
  <c r="P211" i="7"/>
  <c r="Q211" i="7" s="1"/>
  <c r="X211" i="7" s="1"/>
  <c r="AG210" i="7"/>
  <c r="AF210" i="7"/>
  <c r="AE210" i="7"/>
  <c r="AD210" i="7"/>
  <c r="AC210" i="7"/>
  <c r="AB210" i="7"/>
  <c r="P210" i="7"/>
  <c r="Q210" i="7" s="1"/>
  <c r="AG209" i="7"/>
  <c r="AF209" i="7"/>
  <c r="AE209" i="7"/>
  <c r="AD209" i="7"/>
  <c r="AC209" i="7"/>
  <c r="AB209" i="7"/>
  <c r="P209" i="7"/>
  <c r="Q209" i="7" s="1"/>
  <c r="AG208" i="7"/>
  <c r="AF208" i="7"/>
  <c r="AE208" i="7"/>
  <c r="AD208" i="7"/>
  <c r="AC208" i="7"/>
  <c r="AB208" i="7"/>
  <c r="AG207" i="7"/>
  <c r="AF207" i="7"/>
  <c r="AE207" i="7"/>
  <c r="AD207" i="7"/>
  <c r="AC207" i="7"/>
  <c r="AB207" i="7"/>
  <c r="W207" i="7"/>
  <c r="P207" i="7"/>
  <c r="Q207" i="7" s="1"/>
  <c r="AG206" i="7"/>
  <c r="AF206" i="7"/>
  <c r="AE206" i="7"/>
  <c r="AD206" i="7"/>
  <c r="AC206" i="7"/>
  <c r="AB206" i="7"/>
  <c r="V206" i="7"/>
  <c r="Q206" i="7"/>
  <c r="P206" i="7"/>
  <c r="O203" i="7"/>
  <c r="N203" i="7"/>
  <c r="M203" i="7"/>
  <c r="L203" i="7"/>
  <c r="K203" i="7"/>
  <c r="J203" i="7"/>
  <c r="I203" i="7"/>
  <c r="H203" i="7"/>
  <c r="G203" i="7"/>
  <c r="F203" i="7"/>
  <c r="E203" i="7"/>
  <c r="D203" i="7"/>
  <c r="AG201" i="7"/>
  <c r="AF201" i="7"/>
  <c r="AE201" i="7"/>
  <c r="AD201" i="7"/>
  <c r="AC201" i="7"/>
  <c r="AB201" i="7"/>
  <c r="P201" i="7"/>
  <c r="Q201" i="7" s="1"/>
  <c r="AG200" i="7"/>
  <c r="AF200" i="7"/>
  <c r="AE200" i="7"/>
  <c r="AD200" i="7"/>
  <c r="AC200" i="7"/>
  <c r="AB200" i="7"/>
  <c r="P200" i="7"/>
  <c r="Q200" i="7" s="1"/>
  <c r="AG199" i="7"/>
  <c r="AF199" i="7"/>
  <c r="AE199" i="7"/>
  <c r="AD199" i="7"/>
  <c r="AC199" i="7"/>
  <c r="AB199" i="7"/>
  <c r="AG198" i="7"/>
  <c r="AF198" i="7"/>
  <c r="AE198" i="7"/>
  <c r="AD198" i="7"/>
  <c r="AC198" i="7"/>
  <c r="AB198" i="7"/>
  <c r="O195" i="7"/>
  <c r="N195" i="7"/>
  <c r="M195" i="7"/>
  <c r="L195" i="7"/>
  <c r="K195" i="7"/>
  <c r="J195" i="7"/>
  <c r="I195" i="7"/>
  <c r="H195" i="7"/>
  <c r="G195" i="7"/>
  <c r="F195" i="7"/>
  <c r="E195" i="7"/>
  <c r="D195" i="7"/>
  <c r="AG193" i="7"/>
  <c r="AF193" i="7"/>
  <c r="AE193" i="7"/>
  <c r="AD193" i="7"/>
  <c r="AC193" i="7"/>
  <c r="AB193" i="7"/>
  <c r="P193" i="7"/>
  <c r="Q193" i="7" s="1"/>
  <c r="W193" i="7" s="1"/>
  <c r="AG192" i="7"/>
  <c r="AF192" i="7"/>
  <c r="AE192" i="7"/>
  <c r="AD192" i="7"/>
  <c r="AC192" i="7"/>
  <c r="AB192" i="7"/>
  <c r="P192" i="7"/>
  <c r="Q192" i="7" s="1"/>
  <c r="X192" i="7" s="1"/>
  <c r="AG191" i="7"/>
  <c r="AF191" i="7"/>
  <c r="AE191" i="7"/>
  <c r="AD191" i="7"/>
  <c r="AC191" i="7"/>
  <c r="AB191" i="7"/>
  <c r="AG190" i="7"/>
  <c r="AF190" i="7"/>
  <c r="AE190" i="7"/>
  <c r="AD190" i="7"/>
  <c r="AC190" i="7"/>
  <c r="AB190" i="7"/>
  <c r="AG189" i="7"/>
  <c r="AF189" i="7"/>
  <c r="AE189" i="7"/>
  <c r="AD189" i="7"/>
  <c r="AC189" i="7"/>
  <c r="AB189" i="7"/>
  <c r="P189" i="7"/>
  <c r="Q189" i="7" s="1"/>
  <c r="Y189" i="7" s="1"/>
  <c r="AG188" i="7"/>
  <c r="AF188" i="7"/>
  <c r="AE188" i="7"/>
  <c r="AD188" i="7"/>
  <c r="AC188" i="7"/>
  <c r="AB188" i="7"/>
  <c r="P188" i="7"/>
  <c r="Q188" i="7" s="1"/>
  <c r="O185" i="7"/>
  <c r="N185" i="7"/>
  <c r="M185" i="7"/>
  <c r="L185" i="7"/>
  <c r="K185" i="7"/>
  <c r="J185" i="7"/>
  <c r="I185" i="7"/>
  <c r="H185" i="7"/>
  <c r="G185" i="7"/>
  <c r="F185" i="7"/>
  <c r="E185" i="7"/>
  <c r="D185" i="7"/>
  <c r="C185" i="7"/>
  <c r="P183" i="7"/>
  <c r="Q183" i="7" s="1"/>
  <c r="P182" i="7"/>
  <c r="O179" i="7"/>
  <c r="N179" i="7"/>
  <c r="M179" i="7"/>
  <c r="L179" i="7"/>
  <c r="K179" i="7"/>
  <c r="J179" i="7"/>
  <c r="I179" i="7"/>
  <c r="H179" i="7"/>
  <c r="G179" i="7"/>
  <c r="F179" i="7"/>
  <c r="E179" i="7"/>
  <c r="D179" i="7"/>
  <c r="AG177" i="7"/>
  <c r="AF177" i="7"/>
  <c r="AE177" i="7"/>
  <c r="AD177" i="7"/>
  <c r="AC177" i="7"/>
  <c r="AB177" i="7"/>
  <c r="P177" i="7"/>
  <c r="Q177" i="7" s="1"/>
  <c r="AG176" i="7"/>
  <c r="AF176" i="7"/>
  <c r="AE176" i="7"/>
  <c r="AD176" i="7"/>
  <c r="AC176" i="7"/>
  <c r="AB176" i="7"/>
  <c r="P176" i="7"/>
  <c r="Q176" i="7" s="1"/>
  <c r="AG175" i="7"/>
  <c r="AF175" i="7"/>
  <c r="AE175" i="7"/>
  <c r="AD175" i="7"/>
  <c r="AC175" i="7"/>
  <c r="AB175" i="7"/>
  <c r="AG174" i="7"/>
  <c r="AF174" i="7"/>
  <c r="AE174" i="7"/>
  <c r="AD174" i="7"/>
  <c r="AC174" i="7"/>
  <c r="AB174" i="7"/>
  <c r="AG173" i="7"/>
  <c r="AF173" i="7"/>
  <c r="AE173" i="7"/>
  <c r="AD173" i="7"/>
  <c r="AC173" i="7"/>
  <c r="AB173" i="7"/>
  <c r="P173" i="7"/>
  <c r="Q173" i="7" s="1"/>
  <c r="AG172" i="7"/>
  <c r="AF172" i="7"/>
  <c r="AE172" i="7"/>
  <c r="AD172" i="7"/>
  <c r="AC172" i="7"/>
  <c r="AB172" i="7"/>
  <c r="P172" i="7"/>
  <c r="Q172" i="7" s="1"/>
  <c r="W172" i="7" s="1"/>
  <c r="AG171" i="7"/>
  <c r="AF171" i="7"/>
  <c r="AE171" i="7"/>
  <c r="AD171" i="7"/>
  <c r="AC171" i="7"/>
  <c r="AB171" i="7"/>
  <c r="P171" i="7"/>
  <c r="Q171" i="7" s="1"/>
  <c r="V171" i="7" s="1"/>
  <c r="AG170" i="7"/>
  <c r="AF170" i="7"/>
  <c r="AE170" i="7"/>
  <c r="AD170" i="7"/>
  <c r="AC170" i="7"/>
  <c r="AB170" i="7"/>
  <c r="O158" i="7"/>
  <c r="N158" i="7"/>
  <c r="M158" i="7"/>
  <c r="L158" i="7"/>
  <c r="K158" i="7"/>
  <c r="J158" i="7"/>
  <c r="I158" i="7"/>
  <c r="H158" i="7"/>
  <c r="G158" i="7"/>
  <c r="F158" i="7"/>
  <c r="E158" i="7"/>
  <c r="D158" i="7"/>
  <c r="AG156" i="7"/>
  <c r="AF156" i="7"/>
  <c r="AE156" i="7"/>
  <c r="AD156" i="7"/>
  <c r="AC156" i="7"/>
  <c r="AB156" i="7"/>
  <c r="P156" i="7"/>
  <c r="Q156" i="7" s="1"/>
  <c r="Y156" i="7" s="1"/>
  <c r="AG155" i="7"/>
  <c r="AF155" i="7"/>
  <c r="AE155" i="7"/>
  <c r="AD155" i="7"/>
  <c r="AC155" i="7"/>
  <c r="AB155" i="7"/>
  <c r="P155" i="7"/>
  <c r="Q155" i="7" s="1"/>
  <c r="C152" i="7"/>
  <c r="D150" i="7"/>
  <c r="O143" i="7"/>
  <c r="N143" i="7"/>
  <c r="M143" i="7"/>
  <c r="L143" i="7"/>
  <c r="K143" i="7"/>
  <c r="J143" i="7"/>
  <c r="I143" i="7"/>
  <c r="H143" i="7"/>
  <c r="G143" i="7"/>
  <c r="F143" i="7"/>
  <c r="E143" i="7"/>
  <c r="D143" i="7"/>
  <c r="C143" i="7"/>
  <c r="AG141" i="7"/>
  <c r="AF141" i="7"/>
  <c r="AE141" i="7"/>
  <c r="AD141" i="7"/>
  <c r="AC141" i="7"/>
  <c r="AB141" i="7"/>
  <c r="P141" i="7"/>
  <c r="P143" i="7" s="1"/>
  <c r="AG138" i="7"/>
  <c r="AE138" i="7"/>
  <c r="AC138" i="7"/>
  <c r="O138" i="7"/>
  <c r="AD138" i="7" s="1"/>
  <c r="N138" i="7"/>
  <c r="M138" i="7"/>
  <c r="L138" i="7"/>
  <c r="K138" i="7"/>
  <c r="J138" i="7"/>
  <c r="I138" i="7"/>
  <c r="H138" i="7"/>
  <c r="G138" i="7"/>
  <c r="F138" i="7"/>
  <c r="E138" i="7"/>
  <c r="D138" i="7"/>
  <c r="C138" i="7"/>
  <c r="P136" i="7"/>
  <c r="Q136" i="7" s="1"/>
  <c r="P135" i="7"/>
  <c r="P138" i="7" s="1"/>
  <c r="O132" i="7"/>
  <c r="N132" i="7"/>
  <c r="N145" i="7" s="1"/>
  <c r="M132" i="7"/>
  <c r="L132" i="7"/>
  <c r="K132" i="7"/>
  <c r="J132" i="7"/>
  <c r="J145" i="7" s="1"/>
  <c r="I132" i="7"/>
  <c r="H132" i="7"/>
  <c r="G132" i="7"/>
  <c r="F132" i="7"/>
  <c r="F145" i="7" s="1"/>
  <c r="E132" i="7"/>
  <c r="D132" i="7"/>
  <c r="P130" i="7"/>
  <c r="Q130" i="7" s="1"/>
  <c r="P129" i="7"/>
  <c r="Q129" i="7" s="1"/>
  <c r="P128" i="7"/>
  <c r="Q128" i="7" s="1"/>
  <c r="P126" i="7"/>
  <c r="Q126" i="7" s="1"/>
  <c r="P125" i="7"/>
  <c r="Q125" i="7" s="1"/>
  <c r="P124" i="7"/>
  <c r="Q124" i="7" s="1"/>
  <c r="P122" i="7"/>
  <c r="Q122" i="7" s="1"/>
  <c r="P121" i="7"/>
  <c r="Q121" i="7" s="1"/>
  <c r="P120" i="7"/>
  <c r="Q120" i="7" s="1"/>
  <c r="P118" i="7"/>
  <c r="Q118" i="7" s="1"/>
  <c r="P117" i="7"/>
  <c r="Q117" i="7" s="1"/>
  <c r="P116" i="7"/>
  <c r="Q116" i="7" s="1"/>
  <c r="P114" i="7"/>
  <c r="Q114" i="7" s="1"/>
  <c r="P113" i="7"/>
  <c r="Q113" i="7" s="1"/>
  <c r="P112" i="7"/>
  <c r="Q112" i="7" s="1"/>
  <c r="P110" i="7"/>
  <c r="Q110" i="7" s="1"/>
  <c r="P109" i="7"/>
  <c r="Q109" i="7" s="1"/>
  <c r="P108" i="7"/>
  <c r="Q108" i="7" s="1"/>
  <c r="P106" i="7"/>
  <c r="Q106" i="7" s="1"/>
  <c r="P105" i="7"/>
  <c r="Q105" i="7" s="1"/>
  <c r="P104" i="7"/>
  <c r="Q104" i="7" s="1"/>
  <c r="P102" i="7"/>
  <c r="Q102" i="7" s="1"/>
  <c r="P101" i="7"/>
  <c r="Q101" i="7" s="1"/>
  <c r="P100" i="7"/>
  <c r="Q100" i="7" s="1"/>
  <c r="P98" i="7"/>
  <c r="Q98" i="7" s="1"/>
  <c r="P97" i="7"/>
  <c r="Q97" i="7" s="1"/>
  <c r="P96" i="7"/>
  <c r="Q96" i="7" s="1"/>
  <c r="O92" i="7"/>
  <c r="N92" i="7"/>
  <c r="M92" i="7"/>
  <c r="L92" i="7"/>
  <c r="K92" i="7"/>
  <c r="J92" i="7"/>
  <c r="I92" i="7"/>
  <c r="H92" i="7"/>
  <c r="G92" i="7"/>
  <c r="F92" i="7"/>
  <c r="E92" i="7"/>
  <c r="D92" i="7"/>
  <c r="C92" i="7"/>
  <c r="P90" i="7"/>
  <c r="Q90" i="7" s="1"/>
  <c r="P89" i="7"/>
  <c r="O86" i="7"/>
  <c r="AD86" i="7" s="1"/>
  <c r="N86" i="7"/>
  <c r="M86" i="7"/>
  <c r="L86" i="7"/>
  <c r="K86" i="7"/>
  <c r="J86" i="7"/>
  <c r="I86" i="7"/>
  <c r="H86" i="7"/>
  <c r="G86" i="7"/>
  <c r="F86" i="7"/>
  <c r="E86" i="7"/>
  <c r="D86" i="7"/>
  <c r="P84" i="7"/>
  <c r="Q84" i="7" s="1"/>
  <c r="P83" i="7"/>
  <c r="Q83" i="7" s="1"/>
  <c r="P82" i="7"/>
  <c r="Q82" i="7" s="1"/>
  <c r="AF79" i="7"/>
  <c r="AB79" i="7"/>
  <c r="O79" i="7"/>
  <c r="AE79" i="7" s="1"/>
  <c r="N79" i="7"/>
  <c r="M79" i="7"/>
  <c r="L79" i="7"/>
  <c r="K79" i="7"/>
  <c r="J79" i="7"/>
  <c r="I79" i="7"/>
  <c r="H79" i="7"/>
  <c r="G79" i="7"/>
  <c r="F79" i="7"/>
  <c r="E79" i="7"/>
  <c r="D79" i="7"/>
  <c r="P77" i="7"/>
  <c r="Q77" i="7" s="1"/>
  <c r="P76" i="7"/>
  <c r="Q76" i="7" s="1"/>
  <c r="P73" i="7"/>
  <c r="Q68" i="7"/>
  <c r="N68" i="7"/>
  <c r="O66" i="7"/>
  <c r="O68" i="7" s="1"/>
  <c r="N66" i="7"/>
  <c r="M66" i="7"/>
  <c r="M68" i="7" s="1"/>
  <c r="L66" i="7"/>
  <c r="L68" i="7" s="1"/>
  <c r="K66" i="7"/>
  <c r="K68" i="7" s="1"/>
  <c r="J66" i="7"/>
  <c r="J68" i="7" s="1"/>
  <c r="I66" i="7"/>
  <c r="I68" i="7" s="1"/>
  <c r="H66" i="7"/>
  <c r="H68" i="7" s="1"/>
  <c r="G66" i="7"/>
  <c r="G68" i="7" s="1"/>
  <c r="F66" i="7"/>
  <c r="F68" i="7" s="1"/>
  <c r="E66" i="7"/>
  <c r="E68" i="7" s="1"/>
  <c r="D66" i="7"/>
  <c r="D68" i="7" s="1"/>
  <c r="Q64" i="7"/>
  <c r="P64" i="7"/>
  <c r="P63" i="7"/>
  <c r="Q63" i="7" s="1"/>
  <c r="P62" i="7"/>
  <c r="Q62" i="7" s="1"/>
  <c r="P60" i="7"/>
  <c r="Q60" i="7" s="1"/>
  <c r="P59" i="7"/>
  <c r="P51" i="7"/>
  <c r="Q51" i="7" s="1"/>
  <c r="P50" i="7"/>
  <c r="Q50" i="7" s="1"/>
  <c r="P49" i="7"/>
  <c r="Q49" i="7" s="1"/>
  <c r="P48" i="7"/>
  <c r="Q48" i="7" s="1"/>
  <c r="P47" i="7"/>
  <c r="Q47" i="7" s="1"/>
  <c r="P46" i="7"/>
  <c r="Q46" i="7" s="1"/>
  <c r="P45" i="7"/>
  <c r="Q45" i="7" s="1"/>
  <c r="P44" i="7"/>
  <c r="Q44" i="7" s="1"/>
  <c r="P43" i="7"/>
  <c r="Q43" i="7" s="1"/>
  <c r="P42" i="7"/>
  <c r="Q42" i="7" s="1"/>
  <c r="P41" i="7"/>
  <c r="Q41" i="7" s="1"/>
  <c r="P40" i="7"/>
  <c r="Q40" i="7" s="1"/>
  <c r="P39" i="7"/>
  <c r="Q39" i="7" s="1"/>
  <c r="O35" i="7"/>
  <c r="N35" i="7"/>
  <c r="M35" i="7"/>
  <c r="L35" i="7"/>
  <c r="K35" i="7"/>
  <c r="J35" i="7"/>
  <c r="I35" i="7"/>
  <c r="H35" i="7"/>
  <c r="G35" i="7"/>
  <c r="F35" i="7"/>
  <c r="E35" i="7"/>
  <c r="D35" i="7"/>
  <c r="P33" i="7"/>
  <c r="O30" i="7"/>
  <c r="N30" i="7"/>
  <c r="M30" i="7"/>
  <c r="L30" i="7"/>
  <c r="K30" i="7"/>
  <c r="J30" i="7"/>
  <c r="I30" i="7"/>
  <c r="H30" i="7"/>
  <c r="G30" i="7"/>
  <c r="F30" i="7"/>
  <c r="E30" i="7"/>
  <c r="D30" i="7"/>
  <c r="P26" i="7"/>
  <c r="Q26" i="7" s="1"/>
  <c r="P25" i="7"/>
  <c r="Q25" i="7" s="1"/>
  <c r="P22" i="7"/>
  <c r="Q22" i="7" s="1"/>
  <c r="Q21" i="7"/>
  <c r="P21" i="7"/>
  <c r="P18" i="7"/>
  <c r="Q18" i="7" s="1"/>
  <c r="Q17" i="7"/>
  <c r="P17" i="7"/>
  <c r="P16" i="7"/>
  <c r="P100" i="6"/>
  <c r="Q100" i="6" s="1"/>
  <c r="I14" i="9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I15" i="9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I16" i="9"/>
  <c r="J16" i="9"/>
  <c r="K16" i="9" s="1"/>
  <c r="L16" i="9" s="1"/>
  <c r="M16" i="9" s="1"/>
  <c r="N16" i="9" s="1"/>
  <c r="O16" i="9" s="1"/>
  <c r="P16" i="9" s="1"/>
  <c r="Q16" i="9" s="1"/>
  <c r="R16" i="9" s="1"/>
  <c r="S16" i="9" s="1"/>
  <c r="I17" i="9"/>
  <c r="J17" i="9" s="1"/>
  <c r="K17" i="9" s="1"/>
  <c r="L17" i="9" s="1"/>
  <c r="M17" i="9" s="1"/>
  <c r="N17" i="9" s="1"/>
  <c r="O17" i="9" s="1"/>
  <c r="P17" i="9" s="1"/>
  <c r="Q17" i="9" s="1"/>
  <c r="R17" i="9" s="1"/>
  <c r="S17" i="9" s="1"/>
  <c r="I18" i="9"/>
  <c r="J18" i="9"/>
  <c r="K18" i="9" s="1"/>
  <c r="L18" i="9" s="1"/>
  <c r="M18" i="9" s="1"/>
  <c r="N18" i="9" s="1"/>
  <c r="O18" i="9" s="1"/>
  <c r="P18" i="9" s="1"/>
  <c r="Q18" i="9" s="1"/>
  <c r="R18" i="9" s="1"/>
  <c r="S18" i="9" s="1"/>
  <c r="I19" i="9"/>
  <c r="J19" i="9" s="1"/>
  <c r="K19" i="9" s="1"/>
  <c r="L19" i="9" s="1"/>
  <c r="M19" i="9" s="1"/>
  <c r="N19" i="9" s="1"/>
  <c r="O19" i="9" s="1"/>
  <c r="P19" i="9" s="1"/>
  <c r="Q19" i="9" s="1"/>
  <c r="R19" i="9" s="1"/>
  <c r="S19" i="9" s="1"/>
  <c r="I20" i="9"/>
  <c r="J20" i="9"/>
  <c r="K20" i="9" s="1"/>
  <c r="L20" i="9" s="1"/>
  <c r="M20" i="9" s="1"/>
  <c r="N20" i="9" s="1"/>
  <c r="O20" i="9" s="1"/>
  <c r="P20" i="9" s="1"/>
  <c r="Q20" i="9" s="1"/>
  <c r="R20" i="9" s="1"/>
  <c r="S20" i="9" s="1"/>
  <c r="I21" i="9"/>
  <c r="J21" i="9" s="1"/>
  <c r="K21" i="9" s="1"/>
  <c r="L21" i="9" s="1"/>
  <c r="M21" i="9" s="1"/>
  <c r="N21" i="9" s="1"/>
  <c r="O21" i="9" s="1"/>
  <c r="P21" i="9" s="1"/>
  <c r="Q21" i="9" s="1"/>
  <c r="R21" i="9" s="1"/>
  <c r="S21" i="9" s="1"/>
  <c r="I22" i="9"/>
  <c r="J22" i="9" s="1"/>
  <c r="K22" i="9" s="1"/>
  <c r="L22" i="9" s="1"/>
  <c r="M22" i="9" s="1"/>
  <c r="N22" i="9" s="1"/>
  <c r="O22" i="9" s="1"/>
  <c r="P22" i="9" s="1"/>
  <c r="Q22" i="9" s="1"/>
  <c r="R22" i="9" s="1"/>
  <c r="S22" i="9" s="1"/>
  <c r="I23" i="9"/>
  <c r="J23" i="9" s="1"/>
  <c r="K23" i="9" s="1"/>
  <c r="L23" i="9" s="1"/>
  <c r="M23" i="9" s="1"/>
  <c r="N23" i="9" s="1"/>
  <c r="O23" i="9" s="1"/>
  <c r="P23" i="9" s="1"/>
  <c r="Q23" i="9" s="1"/>
  <c r="R23" i="9" s="1"/>
  <c r="S23" i="9" s="1"/>
  <c r="H15" i="9"/>
  <c r="H16" i="9"/>
  <c r="H17" i="9"/>
  <c r="H18" i="9"/>
  <c r="H19" i="9"/>
  <c r="H20" i="9"/>
  <c r="H21" i="9"/>
  <c r="H22" i="9"/>
  <c r="H23" i="9"/>
  <c r="H14" i="9"/>
  <c r="G15" i="9"/>
  <c r="G16" i="9"/>
  <c r="G17" i="9"/>
  <c r="G18" i="9"/>
  <c r="G19" i="9"/>
  <c r="G20" i="9"/>
  <c r="G21" i="9"/>
  <c r="G22" i="9"/>
  <c r="G23" i="9"/>
  <c r="G24" i="9"/>
  <c r="G14" i="9"/>
  <c r="C13" i="11"/>
  <c r="D13" i="11"/>
  <c r="E13" i="11"/>
  <c r="F13" i="11"/>
  <c r="G13" i="11"/>
  <c r="H13" i="11"/>
  <c r="I13" i="11"/>
  <c r="J13" i="11"/>
  <c r="K13" i="11"/>
  <c r="L13" i="11"/>
  <c r="M13" i="11"/>
  <c r="N13" i="11"/>
  <c r="B13" i="11"/>
  <c r="B5" i="11"/>
  <c r="B6" i="11"/>
  <c r="B7" i="11"/>
  <c r="B8" i="11"/>
  <c r="B9" i="11"/>
  <c r="B10" i="11"/>
  <c r="B11" i="11"/>
  <c r="B12" i="11"/>
  <c r="B4" i="11"/>
  <c r="C4" i="11" s="1"/>
  <c r="D4" i="11" s="1"/>
  <c r="E4" i="11" s="1"/>
  <c r="F4" i="11" s="1"/>
  <c r="G4" i="11" s="1"/>
  <c r="H4" i="11" s="1"/>
  <c r="I4" i="11" s="1"/>
  <c r="J4" i="11" s="1"/>
  <c r="K4" i="11" s="1"/>
  <c r="L4" i="11" s="1"/>
  <c r="M4" i="11" s="1"/>
  <c r="G44" i="9"/>
  <c r="C13" i="10"/>
  <c r="D13" i="10"/>
  <c r="E13" i="10"/>
  <c r="F13" i="10"/>
  <c r="G13" i="10"/>
  <c r="H13" i="10"/>
  <c r="I13" i="10"/>
  <c r="J13" i="10"/>
  <c r="K13" i="10"/>
  <c r="L13" i="10"/>
  <c r="M13" i="10"/>
  <c r="N13" i="10"/>
  <c r="B13" i="10"/>
  <c r="I44" i="8"/>
  <c r="J44" i="8" s="1"/>
  <c r="K44" i="8" s="1"/>
  <c r="L44" i="8" s="1"/>
  <c r="M44" i="8" s="1"/>
  <c r="N44" i="8" s="1"/>
  <c r="O44" i="8" s="1"/>
  <c r="P44" i="8" s="1"/>
  <c r="Q44" i="8" s="1"/>
  <c r="R44" i="8" s="1"/>
  <c r="S44" i="8" s="1"/>
  <c r="H44" i="8"/>
  <c r="G44" i="8"/>
  <c r="D7" i="11"/>
  <c r="E7" i="11" s="1"/>
  <c r="F7" i="11" s="1"/>
  <c r="G7" i="11" s="1"/>
  <c r="H7" i="11" s="1"/>
  <c r="I7" i="11" s="1"/>
  <c r="J7" i="11" s="1"/>
  <c r="K7" i="11" s="1"/>
  <c r="L7" i="11" s="1"/>
  <c r="M7" i="11" s="1"/>
  <c r="C5" i="11"/>
  <c r="D5" i="11" s="1"/>
  <c r="E5" i="11" s="1"/>
  <c r="F5" i="11" s="1"/>
  <c r="G5" i="11" s="1"/>
  <c r="H5" i="11" s="1"/>
  <c r="I5" i="11" s="1"/>
  <c r="J5" i="11" s="1"/>
  <c r="K5" i="11" s="1"/>
  <c r="L5" i="11" s="1"/>
  <c r="M5" i="11" s="1"/>
  <c r="C6" i="11"/>
  <c r="D6" i="11" s="1"/>
  <c r="E6" i="11" s="1"/>
  <c r="F6" i="11" s="1"/>
  <c r="G6" i="11" s="1"/>
  <c r="H6" i="11" s="1"/>
  <c r="I6" i="11" s="1"/>
  <c r="J6" i="11" s="1"/>
  <c r="K6" i="11" s="1"/>
  <c r="L6" i="11" s="1"/>
  <c r="M6" i="11" s="1"/>
  <c r="C7" i="11"/>
  <c r="C8" i="11"/>
  <c r="D8" i="11" s="1"/>
  <c r="E8" i="11" s="1"/>
  <c r="F8" i="11" s="1"/>
  <c r="G8" i="11" s="1"/>
  <c r="H8" i="11" s="1"/>
  <c r="I8" i="11" s="1"/>
  <c r="J8" i="11" s="1"/>
  <c r="K8" i="11" s="1"/>
  <c r="L8" i="11" s="1"/>
  <c r="M8" i="11" s="1"/>
  <c r="C9" i="11"/>
  <c r="D9" i="11" s="1"/>
  <c r="E9" i="11" s="1"/>
  <c r="F9" i="11" s="1"/>
  <c r="G9" i="11" s="1"/>
  <c r="H9" i="11" s="1"/>
  <c r="I9" i="11" s="1"/>
  <c r="J9" i="11" s="1"/>
  <c r="K9" i="11" s="1"/>
  <c r="L9" i="11" s="1"/>
  <c r="M9" i="11" s="1"/>
  <c r="C10" i="11"/>
  <c r="D10" i="11" s="1"/>
  <c r="E10" i="11" s="1"/>
  <c r="F10" i="11" s="1"/>
  <c r="G10" i="11" s="1"/>
  <c r="H10" i="11" s="1"/>
  <c r="I10" i="11" s="1"/>
  <c r="J10" i="11" s="1"/>
  <c r="K10" i="11" s="1"/>
  <c r="L10" i="11" s="1"/>
  <c r="M10" i="11" s="1"/>
  <c r="C11" i="11"/>
  <c r="D11" i="11" s="1"/>
  <c r="E11" i="11" s="1"/>
  <c r="F11" i="11" s="1"/>
  <c r="G11" i="11" s="1"/>
  <c r="H11" i="11" s="1"/>
  <c r="I11" i="11" s="1"/>
  <c r="J11" i="11" s="1"/>
  <c r="K11" i="11" s="1"/>
  <c r="L11" i="11" s="1"/>
  <c r="M11" i="11" s="1"/>
  <c r="C12" i="11"/>
  <c r="D12" i="11" s="1"/>
  <c r="E12" i="11" s="1"/>
  <c r="F12" i="11" s="1"/>
  <c r="G12" i="11" s="1"/>
  <c r="H12" i="11" s="1"/>
  <c r="I12" i="11" s="1"/>
  <c r="J12" i="11" s="1"/>
  <c r="K12" i="11" s="1"/>
  <c r="L12" i="11" s="1"/>
  <c r="M12" i="11" s="1"/>
  <c r="D4" i="10"/>
  <c r="E4" i="10" s="1"/>
  <c r="F4" i="10" s="1"/>
  <c r="G4" i="10" s="1"/>
  <c r="H4" i="10" s="1"/>
  <c r="I4" i="10" s="1"/>
  <c r="J4" i="10" s="1"/>
  <c r="K4" i="10" s="1"/>
  <c r="L4" i="10" s="1"/>
  <c r="M4" i="10" s="1"/>
  <c r="D5" i="10"/>
  <c r="E5" i="10"/>
  <c r="F5" i="10" s="1"/>
  <c r="G5" i="10" s="1"/>
  <c r="H5" i="10" s="1"/>
  <c r="I5" i="10" s="1"/>
  <c r="J5" i="10" s="1"/>
  <c r="K5" i="10" s="1"/>
  <c r="L5" i="10" s="1"/>
  <c r="M5" i="10" s="1"/>
  <c r="D6" i="10"/>
  <c r="E6" i="10" s="1"/>
  <c r="F6" i="10" s="1"/>
  <c r="G6" i="10" s="1"/>
  <c r="H6" i="10" s="1"/>
  <c r="I6" i="10" s="1"/>
  <c r="J6" i="10" s="1"/>
  <c r="K6" i="10" s="1"/>
  <c r="L6" i="10" s="1"/>
  <c r="M6" i="10" s="1"/>
  <c r="D7" i="10"/>
  <c r="E7" i="10"/>
  <c r="F7" i="10" s="1"/>
  <c r="G7" i="10" s="1"/>
  <c r="H7" i="10" s="1"/>
  <c r="I7" i="10" s="1"/>
  <c r="J7" i="10" s="1"/>
  <c r="K7" i="10" s="1"/>
  <c r="L7" i="10" s="1"/>
  <c r="M7" i="10" s="1"/>
  <c r="D8" i="10"/>
  <c r="E8" i="10" s="1"/>
  <c r="F8" i="10" s="1"/>
  <c r="G8" i="10" s="1"/>
  <c r="H8" i="10" s="1"/>
  <c r="I8" i="10" s="1"/>
  <c r="J8" i="10" s="1"/>
  <c r="K8" i="10" s="1"/>
  <c r="L8" i="10" s="1"/>
  <c r="M8" i="10" s="1"/>
  <c r="D9" i="10"/>
  <c r="E9" i="10"/>
  <c r="F9" i="10" s="1"/>
  <c r="G9" i="10" s="1"/>
  <c r="H9" i="10" s="1"/>
  <c r="I9" i="10" s="1"/>
  <c r="J9" i="10" s="1"/>
  <c r="K9" i="10" s="1"/>
  <c r="L9" i="10" s="1"/>
  <c r="M9" i="10" s="1"/>
  <c r="D10" i="10"/>
  <c r="E10" i="10" s="1"/>
  <c r="F10" i="10" s="1"/>
  <c r="G10" i="10" s="1"/>
  <c r="H10" i="10" s="1"/>
  <c r="I10" i="10" s="1"/>
  <c r="J10" i="10" s="1"/>
  <c r="K10" i="10" s="1"/>
  <c r="L10" i="10" s="1"/>
  <c r="M10" i="10" s="1"/>
  <c r="D11" i="10"/>
  <c r="E11" i="10"/>
  <c r="F11" i="10" s="1"/>
  <c r="G11" i="10" s="1"/>
  <c r="H11" i="10" s="1"/>
  <c r="I11" i="10" s="1"/>
  <c r="J11" i="10" s="1"/>
  <c r="K11" i="10" s="1"/>
  <c r="L11" i="10" s="1"/>
  <c r="M11" i="10" s="1"/>
  <c r="D12" i="10"/>
  <c r="E12" i="10" s="1"/>
  <c r="F12" i="10" s="1"/>
  <c r="G12" i="10" s="1"/>
  <c r="H12" i="10" s="1"/>
  <c r="I12" i="10" s="1"/>
  <c r="J12" i="10" s="1"/>
  <c r="K12" i="10" s="1"/>
  <c r="L12" i="10" s="1"/>
  <c r="M12" i="10" s="1"/>
  <c r="C5" i="10"/>
  <c r="C6" i="10"/>
  <c r="C7" i="10"/>
  <c r="C8" i="10"/>
  <c r="C9" i="10"/>
  <c r="C10" i="10"/>
  <c r="C11" i="10"/>
  <c r="C12" i="10"/>
  <c r="C4" i="10"/>
  <c r="B4" i="10"/>
  <c r="B5" i="10"/>
  <c r="B6" i="10"/>
  <c r="B7" i="10"/>
  <c r="B8" i="10"/>
  <c r="B9" i="10"/>
  <c r="B10" i="10"/>
  <c r="B11" i="10"/>
  <c r="B12" i="10"/>
  <c r="B3" i="10"/>
  <c r="V246" i="7" l="1"/>
  <c r="W246" i="7"/>
  <c r="C158" i="7"/>
  <c r="Q141" i="7"/>
  <c r="U189" i="7"/>
  <c r="C30" i="7"/>
  <c r="C66" i="7"/>
  <c r="C68" i="7" s="1"/>
  <c r="C179" i="7"/>
  <c r="C195" i="7"/>
  <c r="C203" i="7"/>
  <c r="C79" i="7"/>
  <c r="C86" i="7"/>
  <c r="D215" i="7"/>
  <c r="J215" i="7"/>
  <c r="D145" i="7"/>
  <c r="H145" i="7"/>
  <c r="L145" i="7"/>
  <c r="X247" i="7"/>
  <c r="T247" i="7"/>
  <c r="P252" i="7"/>
  <c r="W250" i="7"/>
  <c r="Q245" i="7"/>
  <c r="V245" i="7" s="1"/>
  <c r="E242" i="7"/>
  <c r="F239" i="7"/>
  <c r="Y232" i="7"/>
  <c r="U232" i="7"/>
  <c r="T224" i="7"/>
  <c r="C236" i="7"/>
  <c r="C257" i="7" s="1"/>
  <c r="V223" i="7"/>
  <c r="W223" i="7"/>
  <c r="V227" i="7"/>
  <c r="W227" i="7"/>
  <c r="V231" i="7"/>
  <c r="W231" i="7"/>
  <c r="U221" i="7"/>
  <c r="U234" i="7"/>
  <c r="U229" i="7"/>
  <c r="W208" i="7"/>
  <c r="T208" i="7"/>
  <c r="X208" i="7"/>
  <c r="P213" i="7"/>
  <c r="W201" i="7"/>
  <c r="T201" i="7"/>
  <c r="X201" i="7"/>
  <c r="P198" i="7"/>
  <c r="Q198" i="7" s="1"/>
  <c r="X188" i="7"/>
  <c r="T188" i="7"/>
  <c r="U192" i="7"/>
  <c r="P190" i="7"/>
  <c r="Q190" i="7" s="1"/>
  <c r="V190" i="7" s="1"/>
  <c r="Y192" i="7"/>
  <c r="X177" i="7"/>
  <c r="U177" i="7"/>
  <c r="Y177" i="7"/>
  <c r="W173" i="7"/>
  <c r="X173" i="7"/>
  <c r="T173" i="7"/>
  <c r="P170" i="7"/>
  <c r="V155" i="7"/>
  <c r="U155" i="7"/>
  <c r="Y155" i="7"/>
  <c r="C160" i="7"/>
  <c r="P158" i="7"/>
  <c r="Q135" i="7"/>
  <c r="Q138" i="7" s="1"/>
  <c r="P95" i="7"/>
  <c r="P74" i="7"/>
  <c r="Q74" i="7" s="1"/>
  <c r="P61" i="7"/>
  <c r="Q61" i="7" s="1"/>
  <c r="Q59" i="7"/>
  <c r="P19" i="7"/>
  <c r="Q19" i="7" s="1"/>
  <c r="Q16" i="7"/>
  <c r="Q30" i="7" s="1"/>
  <c r="Q33" i="7"/>
  <c r="Q35" i="7" s="1"/>
  <c r="R35" i="7" s="1"/>
  <c r="P35" i="7"/>
  <c r="AG92" i="7"/>
  <c r="AC92" i="7"/>
  <c r="AF92" i="7"/>
  <c r="AB92" i="7"/>
  <c r="AE92" i="7"/>
  <c r="Y175" i="7"/>
  <c r="U175" i="7"/>
  <c r="X175" i="7"/>
  <c r="T175" i="7"/>
  <c r="W175" i="7"/>
  <c r="V175" i="7"/>
  <c r="C35" i="7"/>
  <c r="P79" i="7"/>
  <c r="Q73" i="7"/>
  <c r="Q79" i="7" s="1"/>
  <c r="Y141" i="7"/>
  <c r="U141" i="7"/>
  <c r="X141" i="7"/>
  <c r="T141" i="7"/>
  <c r="W141" i="7"/>
  <c r="C145" i="7"/>
  <c r="G145" i="7"/>
  <c r="K145" i="7"/>
  <c r="O145" i="7"/>
  <c r="V200" i="7"/>
  <c r="Y200" i="7"/>
  <c r="U200" i="7"/>
  <c r="X200" i="7"/>
  <c r="T200" i="7"/>
  <c r="W200" i="7"/>
  <c r="R200" i="7" s="1"/>
  <c r="P132" i="7"/>
  <c r="Q95" i="7"/>
  <c r="Q132" i="7" s="1"/>
  <c r="AG86" i="7"/>
  <c r="AC86" i="7"/>
  <c r="AF86" i="7"/>
  <c r="AB86" i="7"/>
  <c r="AE86" i="7"/>
  <c r="P92" i="7"/>
  <c r="Q89" i="7"/>
  <c r="Q92" i="7" s="1"/>
  <c r="X138" i="7"/>
  <c r="T138" i="7"/>
  <c r="W138" i="7"/>
  <c r="V138" i="7"/>
  <c r="V141" i="7"/>
  <c r="Q143" i="7"/>
  <c r="D152" i="7"/>
  <c r="D160" i="7" s="1"/>
  <c r="E150" i="7"/>
  <c r="X156" i="7"/>
  <c r="V156" i="7"/>
  <c r="W156" i="7"/>
  <c r="U156" i="7"/>
  <c r="T156" i="7"/>
  <c r="Y199" i="7"/>
  <c r="U199" i="7"/>
  <c r="X199" i="7"/>
  <c r="T199" i="7"/>
  <c r="R199" i="7" s="1"/>
  <c r="W199" i="7"/>
  <c r="V199" i="7"/>
  <c r="X209" i="7"/>
  <c r="T209" i="7"/>
  <c r="W209" i="7"/>
  <c r="V209" i="7"/>
  <c r="Y209" i="7"/>
  <c r="U209" i="7"/>
  <c r="Q86" i="7"/>
  <c r="AD92" i="7"/>
  <c r="E145" i="7"/>
  <c r="I145" i="7"/>
  <c r="M145" i="7"/>
  <c r="V176" i="7"/>
  <c r="Y176" i="7"/>
  <c r="U176" i="7"/>
  <c r="X176" i="7"/>
  <c r="T176" i="7"/>
  <c r="W176" i="7"/>
  <c r="AC79" i="7"/>
  <c r="AG79" i="7"/>
  <c r="P86" i="7"/>
  <c r="AB138" i="7"/>
  <c r="AF138" i="7"/>
  <c r="P185" i="7"/>
  <c r="P195" i="7"/>
  <c r="U190" i="7"/>
  <c r="T190" i="7"/>
  <c r="V191" i="7"/>
  <c r="Y191" i="7"/>
  <c r="U191" i="7"/>
  <c r="X191" i="7"/>
  <c r="T191" i="7"/>
  <c r="V193" i="7"/>
  <c r="Y193" i="7"/>
  <c r="U193" i="7"/>
  <c r="X193" i="7"/>
  <c r="T193" i="7"/>
  <c r="Y206" i="7"/>
  <c r="U206" i="7"/>
  <c r="Q213" i="7"/>
  <c r="X206" i="7"/>
  <c r="T206" i="7"/>
  <c r="W206" i="7"/>
  <c r="V207" i="7"/>
  <c r="Y207" i="7"/>
  <c r="U207" i="7"/>
  <c r="X207" i="7"/>
  <c r="T207" i="7"/>
  <c r="E215" i="7"/>
  <c r="AD79" i="7"/>
  <c r="Q158" i="7"/>
  <c r="W155" i="7"/>
  <c r="X174" i="7"/>
  <c r="T174" i="7"/>
  <c r="W174" i="7"/>
  <c r="V174" i="7"/>
  <c r="F215" i="7"/>
  <c r="N215" i="7"/>
  <c r="Y210" i="7"/>
  <c r="U210" i="7"/>
  <c r="X210" i="7"/>
  <c r="T210" i="7"/>
  <c r="W210" i="7"/>
  <c r="W211" i="7"/>
  <c r="V211" i="7"/>
  <c r="Y211" i="7"/>
  <c r="U211" i="7"/>
  <c r="W220" i="7"/>
  <c r="V220" i="7"/>
  <c r="Y220" i="7"/>
  <c r="U220" i="7"/>
  <c r="X220" i="7"/>
  <c r="T220" i="7"/>
  <c r="Y226" i="7"/>
  <c r="U226" i="7"/>
  <c r="X226" i="7"/>
  <c r="T226" i="7"/>
  <c r="W226" i="7"/>
  <c r="V226" i="7"/>
  <c r="AG240" i="7"/>
  <c r="AC240" i="7"/>
  <c r="AF240" i="7"/>
  <c r="AB240" i="7"/>
  <c r="AE240" i="7"/>
  <c r="AD240" i="7"/>
  <c r="X248" i="7"/>
  <c r="T248" i="7"/>
  <c r="W248" i="7"/>
  <c r="V248" i="7"/>
  <c r="Y248" i="7"/>
  <c r="U248" i="7"/>
  <c r="T155" i="7"/>
  <c r="X155" i="7"/>
  <c r="Y171" i="7"/>
  <c r="U171" i="7"/>
  <c r="X171" i="7"/>
  <c r="T171" i="7"/>
  <c r="W171" i="7"/>
  <c r="V172" i="7"/>
  <c r="Y172" i="7"/>
  <c r="U172" i="7"/>
  <c r="X172" i="7"/>
  <c r="T172" i="7"/>
  <c r="R172" i="7" s="1"/>
  <c r="U174" i="7"/>
  <c r="X189" i="7"/>
  <c r="T189" i="7"/>
  <c r="W189" i="7"/>
  <c r="V189" i="7"/>
  <c r="V210" i="7"/>
  <c r="T211" i="7"/>
  <c r="C215" i="7"/>
  <c r="G215" i="7"/>
  <c r="K215" i="7"/>
  <c r="O215" i="7"/>
  <c r="U173" i="7"/>
  <c r="Y173" i="7"/>
  <c r="V177" i="7"/>
  <c r="U188" i="7"/>
  <c r="Y188" i="7"/>
  <c r="V192" i="7"/>
  <c r="U201" i="7"/>
  <c r="Y201" i="7"/>
  <c r="U208" i="7"/>
  <c r="Y208" i="7"/>
  <c r="H215" i="7"/>
  <c r="L215" i="7"/>
  <c r="Y219" i="7"/>
  <c r="U219" i="7"/>
  <c r="X219" i="7"/>
  <c r="T219" i="7"/>
  <c r="Q236" i="7"/>
  <c r="W219" i="7"/>
  <c r="X221" i="7"/>
  <c r="T221" i="7"/>
  <c r="W221" i="7"/>
  <c r="V221" i="7"/>
  <c r="W224" i="7"/>
  <c r="V224" i="7"/>
  <c r="Y224" i="7"/>
  <c r="U224" i="7"/>
  <c r="Y230" i="7"/>
  <c r="U230" i="7"/>
  <c r="X230" i="7"/>
  <c r="T230" i="7"/>
  <c r="W230" i="7"/>
  <c r="V233" i="7"/>
  <c r="Y233" i="7"/>
  <c r="U233" i="7"/>
  <c r="X233" i="7"/>
  <c r="T233" i="7"/>
  <c r="X234" i="7"/>
  <c r="T234" i="7"/>
  <c r="W234" i="7"/>
  <c r="V234" i="7"/>
  <c r="Q252" i="7"/>
  <c r="Y245" i="7"/>
  <c r="U245" i="7"/>
  <c r="X245" i="7"/>
  <c r="T245" i="7"/>
  <c r="W245" i="7"/>
  <c r="X255" i="7"/>
  <c r="T255" i="7"/>
  <c r="W255" i="7"/>
  <c r="V255" i="7"/>
  <c r="V173" i="7"/>
  <c r="W177" i="7"/>
  <c r="V188" i="7"/>
  <c r="W192" i="7"/>
  <c r="V201" i="7"/>
  <c r="V208" i="7"/>
  <c r="I215" i="7"/>
  <c r="M215" i="7"/>
  <c r="X225" i="7"/>
  <c r="T225" i="7"/>
  <c r="W225" i="7"/>
  <c r="V225" i="7"/>
  <c r="W228" i="7"/>
  <c r="V228" i="7"/>
  <c r="Y228" i="7"/>
  <c r="U228" i="7"/>
  <c r="F242" i="7"/>
  <c r="G239" i="7"/>
  <c r="Y249" i="7"/>
  <c r="U249" i="7"/>
  <c r="X249" i="7"/>
  <c r="T249" i="7"/>
  <c r="W249" i="7"/>
  <c r="E257" i="7"/>
  <c r="U255" i="7"/>
  <c r="Q266" i="7"/>
  <c r="T177" i="7"/>
  <c r="Q182" i="7"/>
  <c r="Q185" i="7" s="1"/>
  <c r="W188" i="7"/>
  <c r="T192" i="7"/>
  <c r="R201" i="7"/>
  <c r="Y222" i="7"/>
  <c r="U222" i="7"/>
  <c r="X222" i="7"/>
  <c r="T222" i="7"/>
  <c r="W222" i="7"/>
  <c r="U225" i="7"/>
  <c r="T228" i="7"/>
  <c r="X229" i="7"/>
  <c r="T229" i="7"/>
  <c r="W229" i="7"/>
  <c r="V229" i="7"/>
  <c r="X232" i="7"/>
  <c r="T232" i="7"/>
  <c r="W232" i="7"/>
  <c r="V232" i="7"/>
  <c r="P236" i="7"/>
  <c r="W247" i="7"/>
  <c r="V247" i="7"/>
  <c r="Y247" i="7"/>
  <c r="U247" i="7"/>
  <c r="F257" i="7"/>
  <c r="Y255" i="7"/>
  <c r="T223" i="7"/>
  <c r="X223" i="7"/>
  <c r="T227" i="7"/>
  <c r="X227" i="7"/>
  <c r="T231" i="7"/>
  <c r="X231" i="7"/>
  <c r="P240" i="7"/>
  <c r="Q240" i="7" s="1"/>
  <c r="D242" i="7"/>
  <c r="D257" i="7" s="1"/>
  <c r="D268" i="7" s="1"/>
  <c r="D270" i="7" s="1"/>
  <c r="T246" i="7"/>
  <c r="X246" i="7"/>
  <c r="T250" i="7"/>
  <c r="X250" i="7"/>
  <c r="P266" i="7"/>
  <c r="U223" i="7"/>
  <c r="Y223" i="7"/>
  <c r="U227" i="7"/>
  <c r="Y227" i="7"/>
  <c r="U231" i="7"/>
  <c r="Y231" i="7"/>
  <c r="U246" i="7"/>
  <c r="Y246" i="7"/>
  <c r="U250" i="7"/>
  <c r="Y250" i="7"/>
  <c r="P99" i="6"/>
  <c r="Q99" i="6" s="1"/>
  <c r="N45" i="13"/>
  <c r="H45" i="13"/>
  <c r="D45" i="13"/>
  <c r="E52" i="13"/>
  <c r="F52" i="13"/>
  <c r="G52" i="13"/>
  <c r="H52" i="13"/>
  <c r="I52" i="13" s="1"/>
  <c r="J52" i="13" s="1"/>
  <c r="K52" i="13" s="1"/>
  <c r="L52" i="13" s="1"/>
  <c r="M52" i="13" s="1"/>
  <c r="N52" i="13" s="1"/>
  <c r="E53" i="13"/>
  <c r="F53" i="13"/>
  <c r="G53" i="13" s="1"/>
  <c r="H53" i="13" s="1"/>
  <c r="I53" i="13" s="1"/>
  <c r="J53" i="13" s="1"/>
  <c r="K53" i="13" s="1"/>
  <c r="L53" i="13" s="1"/>
  <c r="M53" i="13" s="1"/>
  <c r="N53" i="13" s="1"/>
  <c r="D53" i="13"/>
  <c r="D52" i="13"/>
  <c r="E41" i="13"/>
  <c r="F41" i="13" s="1"/>
  <c r="G41" i="13" s="1"/>
  <c r="H41" i="13" s="1"/>
  <c r="I41" i="13" s="1"/>
  <c r="J41" i="13" s="1"/>
  <c r="K41" i="13" s="1"/>
  <c r="L41" i="13" s="1"/>
  <c r="M41" i="13" s="1"/>
  <c r="N41" i="13" s="1"/>
  <c r="E42" i="13"/>
  <c r="F42" i="13"/>
  <c r="G42" i="13" s="1"/>
  <c r="H42" i="13" s="1"/>
  <c r="I42" i="13" s="1"/>
  <c r="J42" i="13" s="1"/>
  <c r="K42" i="13" s="1"/>
  <c r="L42" i="13" s="1"/>
  <c r="M42" i="13" s="1"/>
  <c r="N42" i="13" s="1"/>
  <c r="E43" i="13"/>
  <c r="F43" i="13" s="1"/>
  <c r="G43" i="13" s="1"/>
  <c r="H43" i="13" s="1"/>
  <c r="I43" i="13" s="1"/>
  <c r="J43" i="13" s="1"/>
  <c r="K43" i="13" s="1"/>
  <c r="L43" i="13" s="1"/>
  <c r="M43" i="13" s="1"/>
  <c r="N43" i="13" s="1"/>
  <c r="E44" i="13"/>
  <c r="F44" i="13"/>
  <c r="G44" i="13" s="1"/>
  <c r="H44" i="13" s="1"/>
  <c r="I44" i="13" s="1"/>
  <c r="J44" i="13" s="1"/>
  <c r="K44" i="13" s="1"/>
  <c r="L44" i="13" s="1"/>
  <c r="M44" i="13" s="1"/>
  <c r="N44" i="13" s="1"/>
  <c r="E45" i="13"/>
  <c r="F45" i="13" s="1"/>
  <c r="G45" i="13" s="1"/>
  <c r="I45" i="13" s="1"/>
  <c r="J45" i="13" s="1"/>
  <c r="K45" i="13" s="1"/>
  <c r="L45" i="13" s="1"/>
  <c r="M45" i="13" s="1"/>
  <c r="E46" i="13"/>
  <c r="F46" i="13"/>
  <c r="G46" i="13" s="1"/>
  <c r="H46" i="13" s="1"/>
  <c r="I46" i="13" s="1"/>
  <c r="J46" i="13" s="1"/>
  <c r="K46" i="13" s="1"/>
  <c r="L46" i="13" s="1"/>
  <c r="M46" i="13" s="1"/>
  <c r="N46" i="13" s="1"/>
  <c r="E47" i="13"/>
  <c r="F47" i="13" s="1"/>
  <c r="G47" i="13" s="1"/>
  <c r="H47" i="13" s="1"/>
  <c r="I47" i="13" s="1"/>
  <c r="J47" i="13" s="1"/>
  <c r="K47" i="13" s="1"/>
  <c r="L47" i="13" s="1"/>
  <c r="M47" i="13" s="1"/>
  <c r="N47" i="13" s="1"/>
  <c r="E48" i="13"/>
  <c r="F48" i="13"/>
  <c r="G48" i="13" s="1"/>
  <c r="H48" i="13" s="1"/>
  <c r="I48" i="13" s="1"/>
  <c r="J48" i="13" s="1"/>
  <c r="K48" i="13" s="1"/>
  <c r="L48" i="13" s="1"/>
  <c r="M48" i="13" s="1"/>
  <c r="N48" i="13" s="1"/>
  <c r="E49" i="13"/>
  <c r="F49" i="13" s="1"/>
  <c r="G49" i="13" s="1"/>
  <c r="H49" i="13" s="1"/>
  <c r="I49" i="13" s="1"/>
  <c r="J49" i="13" s="1"/>
  <c r="K49" i="13" s="1"/>
  <c r="L49" i="13" s="1"/>
  <c r="M49" i="13" s="1"/>
  <c r="N49" i="13" s="1"/>
  <c r="E50" i="13"/>
  <c r="F50" i="13"/>
  <c r="G50" i="13" s="1"/>
  <c r="H50" i="13" s="1"/>
  <c r="I50" i="13" s="1"/>
  <c r="J50" i="13" s="1"/>
  <c r="K50" i="13" s="1"/>
  <c r="L50" i="13" s="1"/>
  <c r="M50" i="13" s="1"/>
  <c r="N50" i="13" s="1"/>
  <c r="D42" i="13"/>
  <c r="D43" i="13"/>
  <c r="D44" i="13"/>
  <c r="D46" i="13"/>
  <c r="D47" i="13"/>
  <c r="D48" i="13"/>
  <c r="D49" i="13"/>
  <c r="D50" i="13"/>
  <c r="D41" i="13"/>
  <c r="C53" i="13"/>
  <c r="C52" i="13"/>
  <c r="C42" i="13"/>
  <c r="C43" i="13"/>
  <c r="C44" i="13"/>
  <c r="C27" i="13" s="1"/>
  <c r="D27" i="13" s="1"/>
  <c r="E27" i="13" s="1"/>
  <c r="C45" i="13"/>
  <c r="C28" i="13" s="1"/>
  <c r="D28" i="13" s="1"/>
  <c r="C46" i="13"/>
  <c r="C47" i="13"/>
  <c r="C48" i="13"/>
  <c r="C31" i="13" s="1"/>
  <c r="D31" i="13" s="1"/>
  <c r="E31" i="13" s="1"/>
  <c r="C49" i="13"/>
  <c r="C32" i="13" s="1"/>
  <c r="D32" i="13" s="1"/>
  <c r="E32" i="13" s="1"/>
  <c r="C50" i="13"/>
  <c r="C41" i="13"/>
  <c r="C36" i="13"/>
  <c r="D36" i="13" s="1"/>
  <c r="E36" i="13" s="1"/>
  <c r="F36" i="13" s="1"/>
  <c r="C35" i="13"/>
  <c r="D35" i="13" s="1"/>
  <c r="E35" i="13" s="1"/>
  <c r="F35" i="13" s="1"/>
  <c r="C25" i="13"/>
  <c r="D25" i="13" s="1"/>
  <c r="C26" i="13"/>
  <c r="D26" i="13" s="1"/>
  <c r="E26" i="13" s="1"/>
  <c r="C29" i="13"/>
  <c r="D29" i="13" s="1"/>
  <c r="E29" i="13" s="1"/>
  <c r="C30" i="13"/>
  <c r="D30" i="13" s="1"/>
  <c r="E30" i="13" s="1"/>
  <c r="C33" i="13"/>
  <c r="D33" i="13" s="1"/>
  <c r="C24" i="13"/>
  <c r="D24" i="13" s="1"/>
  <c r="E24" i="13" s="1"/>
  <c r="B36" i="13"/>
  <c r="B35" i="13"/>
  <c r="B25" i="13"/>
  <c r="B26" i="13"/>
  <c r="B27" i="13"/>
  <c r="B28" i="13"/>
  <c r="B29" i="13"/>
  <c r="B30" i="13"/>
  <c r="B31" i="13"/>
  <c r="B32" i="13"/>
  <c r="B33" i="13"/>
  <c r="B24" i="13"/>
  <c r="N45" i="12"/>
  <c r="H45" i="12"/>
  <c r="E45" i="12"/>
  <c r="C45" i="12"/>
  <c r="E52" i="12"/>
  <c r="F52" i="12" s="1"/>
  <c r="G52" i="12" s="1"/>
  <c r="H52" i="12" s="1"/>
  <c r="I52" i="12" s="1"/>
  <c r="J52" i="12" s="1"/>
  <c r="K52" i="12" s="1"/>
  <c r="L52" i="12" s="1"/>
  <c r="M52" i="12" s="1"/>
  <c r="N52" i="12" s="1"/>
  <c r="E53" i="12"/>
  <c r="F53" i="12"/>
  <c r="G53" i="12" s="1"/>
  <c r="H53" i="12" s="1"/>
  <c r="I53" i="12" s="1"/>
  <c r="J53" i="12" s="1"/>
  <c r="K53" i="12" s="1"/>
  <c r="L53" i="12" s="1"/>
  <c r="M53" i="12" s="1"/>
  <c r="N53" i="12" s="1"/>
  <c r="E41" i="12"/>
  <c r="F41" i="12"/>
  <c r="G41" i="12"/>
  <c r="H41" i="12"/>
  <c r="I41" i="12" s="1"/>
  <c r="J41" i="12" s="1"/>
  <c r="K41" i="12" s="1"/>
  <c r="L41" i="12" s="1"/>
  <c r="M41" i="12" s="1"/>
  <c r="N41" i="12" s="1"/>
  <c r="E42" i="12"/>
  <c r="F42" i="12"/>
  <c r="G42" i="12" s="1"/>
  <c r="H42" i="12" s="1"/>
  <c r="I42" i="12" s="1"/>
  <c r="J42" i="12" s="1"/>
  <c r="K42" i="12" s="1"/>
  <c r="L42" i="12" s="1"/>
  <c r="M42" i="12" s="1"/>
  <c r="N42" i="12" s="1"/>
  <c r="E43" i="12"/>
  <c r="F43" i="12"/>
  <c r="G43" i="12"/>
  <c r="H43" i="12"/>
  <c r="I43" i="12" s="1"/>
  <c r="J43" i="12" s="1"/>
  <c r="K43" i="12" s="1"/>
  <c r="L43" i="12" s="1"/>
  <c r="M43" i="12" s="1"/>
  <c r="N43" i="12" s="1"/>
  <c r="E44" i="12"/>
  <c r="F44" i="12"/>
  <c r="G44" i="12" s="1"/>
  <c r="H44" i="12" s="1"/>
  <c r="I44" i="12" s="1"/>
  <c r="J44" i="12" s="1"/>
  <c r="K44" i="12" s="1"/>
  <c r="L44" i="12" s="1"/>
  <c r="M44" i="12" s="1"/>
  <c r="N44" i="12" s="1"/>
  <c r="E46" i="12"/>
  <c r="F46" i="12"/>
  <c r="G46" i="12" s="1"/>
  <c r="H46" i="12" s="1"/>
  <c r="I46" i="12" s="1"/>
  <c r="J46" i="12" s="1"/>
  <c r="K46" i="12" s="1"/>
  <c r="L46" i="12" s="1"/>
  <c r="M46" i="12" s="1"/>
  <c r="N46" i="12" s="1"/>
  <c r="E47" i="12"/>
  <c r="F47" i="12" s="1"/>
  <c r="G47" i="12" s="1"/>
  <c r="H47" i="12" s="1"/>
  <c r="I47" i="12" s="1"/>
  <c r="J47" i="12" s="1"/>
  <c r="K47" i="12" s="1"/>
  <c r="L47" i="12" s="1"/>
  <c r="M47" i="12" s="1"/>
  <c r="N47" i="12" s="1"/>
  <c r="E48" i="12"/>
  <c r="F48" i="12"/>
  <c r="G48" i="12" s="1"/>
  <c r="H48" i="12" s="1"/>
  <c r="I48" i="12" s="1"/>
  <c r="J48" i="12" s="1"/>
  <c r="K48" i="12" s="1"/>
  <c r="L48" i="12" s="1"/>
  <c r="M48" i="12" s="1"/>
  <c r="N48" i="12" s="1"/>
  <c r="E49" i="12"/>
  <c r="F49" i="12" s="1"/>
  <c r="G49" i="12" s="1"/>
  <c r="H49" i="12" s="1"/>
  <c r="I49" i="12" s="1"/>
  <c r="J49" i="12" s="1"/>
  <c r="K49" i="12" s="1"/>
  <c r="L49" i="12" s="1"/>
  <c r="M49" i="12" s="1"/>
  <c r="N49" i="12" s="1"/>
  <c r="E50" i="12"/>
  <c r="F50" i="12"/>
  <c r="G50" i="12" s="1"/>
  <c r="H50" i="12" s="1"/>
  <c r="I50" i="12" s="1"/>
  <c r="J50" i="12" s="1"/>
  <c r="K50" i="12" s="1"/>
  <c r="L50" i="12" s="1"/>
  <c r="M50" i="12" s="1"/>
  <c r="N50" i="12" s="1"/>
  <c r="D53" i="12"/>
  <c r="D52" i="12"/>
  <c r="D42" i="12"/>
  <c r="D43" i="12"/>
  <c r="D44" i="12"/>
  <c r="D45" i="12"/>
  <c r="F45" i="12" s="1"/>
  <c r="G45" i="12" s="1"/>
  <c r="I45" i="12" s="1"/>
  <c r="J45" i="12" s="1"/>
  <c r="K45" i="12" s="1"/>
  <c r="L45" i="12" s="1"/>
  <c r="M45" i="12" s="1"/>
  <c r="D46" i="12"/>
  <c r="D47" i="12"/>
  <c r="D48" i="12"/>
  <c r="D49" i="12"/>
  <c r="D50" i="12"/>
  <c r="D41" i="12"/>
  <c r="D51" i="12"/>
  <c r="C51" i="12"/>
  <c r="C42" i="12"/>
  <c r="C43" i="12"/>
  <c r="C44" i="12"/>
  <c r="C28" i="12"/>
  <c r="C46" i="12"/>
  <c r="C47" i="12"/>
  <c r="C48" i="12"/>
  <c r="C49" i="12"/>
  <c r="C32" i="12" s="1"/>
  <c r="C50" i="12"/>
  <c r="C52" i="12"/>
  <c r="C53" i="12"/>
  <c r="C36" i="12" s="1"/>
  <c r="C41" i="12"/>
  <c r="D24" i="12"/>
  <c r="C25" i="12"/>
  <c r="D25" i="12" s="1"/>
  <c r="E25" i="12" s="1"/>
  <c r="C26" i="12"/>
  <c r="D26" i="12" s="1"/>
  <c r="C27" i="12"/>
  <c r="D27" i="12" s="1"/>
  <c r="C29" i="12"/>
  <c r="C30" i="12"/>
  <c r="D30" i="12" s="1"/>
  <c r="E30" i="12" s="1"/>
  <c r="C31" i="12"/>
  <c r="D31" i="12" s="1"/>
  <c r="C33" i="12"/>
  <c r="D33" i="12" s="1"/>
  <c r="C35" i="12"/>
  <c r="C24" i="12"/>
  <c r="B34" i="12"/>
  <c r="B25" i="12"/>
  <c r="B26" i="12"/>
  <c r="B27" i="12"/>
  <c r="B28" i="12"/>
  <c r="B29" i="12"/>
  <c r="B30" i="12"/>
  <c r="B31" i="12"/>
  <c r="B32" i="12"/>
  <c r="B33" i="12"/>
  <c r="B35" i="12"/>
  <c r="B36" i="12"/>
  <c r="B24" i="12"/>
  <c r="N11" i="13"/>
  <c r="H11" i="13"/>
  <c r="D11" i="13"/>
  <c r="C19" i="13"/>
  <c r="C18" i="13"/>
  <c r="D7" i="13"/>
  <c r="E7" i="13" s="1"/>
  <c r="F7" i="13" s="1"/>
  <c r="G7" i="13" s="1"/>
  <c r="H7" i="13" s="1"/>
  <c r="I7" i="13" s="1"/>
  <c r="J7" i="13" s="1"/>
  <c r="K7" i="13" s="1"/>
  <c r="L7" i="13" s="1"/>
  <c r="M7" i="13" s="1"/>
  <c r="N7" i="13" s="1"/>
  <c r="D8" i="13"/>
  <c r="E8" i="13" s="1"/>
  <c r="F8" i="13" s="1"/>
  <c r="G8" i="13" s="1"/>
  <c r="H8" i="13" s="1"/>
  <c r="I8" i="13" s="1"/>
  <c r="J8" i="13" s="1"/>
  <c r="K8" i="13" s="1"/>
  <c r="L8" i="13" s="1"/>
  <c r="M8" i="13" s="1"/>
  <c r="N8" i="13" s="1"/>
  <c r="D9" i="13"/>
  <c r="E9" i="13"/>
  <c r="F9" i="13" s="1"/>
  <c r="G9" i="13" s="1"/>
  <c r="H9" i="13" s="1"/>
  <c r="I9" i="13" s="1"/>
  <c r="J9" i="13" s="1"/>
  <c r="K9" i="13" s="1"/>
  <c r="L9" i="13" s="1"/>
  <c r="M9" i="13" s="1"/>
  <c r="N9" i="13" s="1"/>
  <c r="D10" i="13"/>
  <c r="E10" i="13"/>
  <c r="F10" i="13"/>
  <c r="G10" i="13" s="1"/>
  <c r="H10" i="13" s="1"/>
  <c r="I10" i="13" s="1"/>
  <c r="J10" i="13" s="1"/>
  <c r="K10" i="13" s="1"/>
  <c r="L10" i="13" s="1"/>
  <c r="M10" i="13" s="1"/>
  <c r="N10" i="13" s="1"/>
  <c r="E11" i="13"/>
  <c r="F11" i="13" s="1"/>
  <c r="G11" i="13" s="1"/>
  <c r="I11" i="13" s="1"/>
  <c r="J11" i="13" s="1"/>
  <c r="K11" i="13" s="1"/>
  <c r="L11" i="13" s="1"/>
  <c r="M11" i="13" s="1"/>
  <c r="D12" i="13"/>
  <c r="E12" i="13" s="1"/>
  <c r="F12" i="13" s="1"/>
  <c r="G12" i="13" s="1"/>
  <c r="H12" i="13" s="1"/>
  <c r="I12" i="13" s="1"/>
  <c r="J12" i="13" s="1"/>
  <c r="K12" i="13" s="1"/>
  <c r="L12" i="13" s="1"/>
  <c r="M12" i="13" s="1"/>
  <c r="N12" i="13" s="1"/>
  <c r="D13" i="13"/>
  <c r="E13" i="13"/>
  <c r="F13" i="13" s="1"/>
  <c r="G13" i="13" s="1"/>
  <c r="H13" i="13" s="1"/>
  <c r="I13" i="13" s="1"/>
  <c r="J13" i="13" s="1"/>
  <c r="K13" i="13" s="1"/>
  <c r="L13" i="13" s="1"/>
  <c r="M13" i="13" s="1"/>
  <c r="N13" i="13" s="1"/>
  <c r="D14" i="13"/>
  <c r="E14" i="13"/>
  <c r="F14" i="13"/>
  <c r="G14" i="13" s="1"/>
  <c r="H14" i="13" s="1"/>
  <c r="I14" i="13" s="1"/>
  <c r="J14" i="13" s="1"/>
  <c r="K14" i="13" s="1"/>
  <c r="L14" i="13" s="1"/>
  <c r="M14" i="13" s="1"/>
  <c r="N14" i="13" s="1"/>
  <c r="D15" i="13"/>
  <c r="E15" i="13" s="1"/>
  <c r="F15" i="13" s="1"/>
  <c r="G15" i="13" s="1"/>
  <c r="H15" i="13" s="1"/>
  <c r="I15" i="13" s="1"/>
  <c r="J15" i="13" s="1"/>
  <c r="K15" i="13" s="1"/>
  <c r="L15" i="13" s="1"/>
  <c r="M15" i="13" s="1"/>
  <c r="N15" i="13" s="1"/>
  <c r="D16" i="13"/>
  <c r="E16" i="13" s="1"/>
  <c r="F16" i="13" s="1"/>
  <c r="G16" i="13" s="1"/>
  <c r="H16" i="13" s="1"/>
  <c r="I16" i="13" s="1"/>
  <c r="J16" i="13" s="1"/>
  <c r="K16" i="13" s="1"/>
  <c r="L16" i="13" s="1"/>
  <c r="M16" i="13" s="1"/>
  <c r="N16" i="13" s="1"/>
  <c r="C8" i="13"/>
  <c r="C9" i="13"/>
  <c r="C10" i="13"/>
  <c r="C11" i="13"/>
  <c r="C12" i="13"/>
  <c r="C13" i="13"/>
  <c r="C14" i="13"/>
  <c r="C15" i="13"/>
  <c r="C16" i="13"/>
  <c r="C7" i="13"/>
  <c r="B19" i="13"/>
  <c r="B18" i="13"/>
  <c r="B7" i="13"/>
  <c r="B8" i="13"/>
  <c r="B9" i="13"/>
  <c r="B10" i="13"/>
  <c r="B11" i="13"/>
  <c r="B12" i="13"/>
  <c r="B13" i="13"/>
  <c r="B14" i="13"/>
  <c r="B15" i="13"/>
  <c r="B16" i="13"/>
  <c r="B6" i="13"/>
  <c r="N11" i="12"/>
  <c r="H11" i="12"/>
  <c r="D5" i="12"/>
  <c r="E5" i="12" s="1"/>
  <c r="F5" i="12" s="1"/>
  <c r="G5" i="12" s="1"/>
  <c r="H5" i="12" s="1"/>
  <c r="I5" i="12" s="1"/>
  <c r="J5" i="12" s="1"/>
  <c r="K5" i="12" s="1"/>
  <c r="L5" i="12" s="1"/>
  <c r="M5" i="12" s="1"/>
  <c r="N5" i="12" s="1"/>
  <c r="C5" i="12"/>
  <c r="E11" i="12"/>
  <c r="C11" i="12"/>
  <c r="D7" i="12"/>
  <c r="E7" i="12" s="1"/>
  <c r="F7" i="12" s="1"/>
  <c r="G7" i="12" s="1"/>
  <c r="H7" i="12" s="1"/>
  <c r="I7" i="12" s="1"/>
  <c r="J7" i="12" s="1"/>
  <c r="K7" i="12" s="1"/>
  <c r="L7" i="12" s="1"/>
  <c r="M7" i="12" s="1"/>
  <c r="N7" i="12" s="1"/>
  <c r="D8" i="12"/>
  <c r="E8" i="12" s="1"/>
  <c r="F8" i="12" s="1"/>
  <c r="G8" i="12" s="1"/>
  <c r="H8" i="12" s="1"/>
  <c r="I8" i="12" s="1"/>
  <c r="J8" i="12" s="1"/>
  <c r="K8" i="12" s="1"/>
  <c r="L8" i="12" s="1"/>
  <c r="M8" i="12" s="1"/>
  <c r="N8" i="12" s="1"/>
  <c r="D9" i="12"/>
  <c r="E9" i="12"/>
  <c r="F9" i="12" s="1"/>
  <c r="G9" i="12" s="1"/>
  <c r="H9" i="12" s="1"/>
  <c r="I9" i="12" s="1"/>
  <c r="J9" i="12" s="1"/>
  <c r="K9" i="12" s="1"/>
  <c r="L9" i="12" s="1"/>
  <c r="M9" i="12" s="1"/>
  <c r="N9" i="12" s="1"/>
  <c r="D10" i="12"/>
  <c r="E10" i="12"/>
  <c r="F10" i="12"/>
  <c r="G10" i="12" s="1"/>
  <c r="H10" i="12" s="1"/>
  <c r="I10" i="12" s="1"/>
  <c r="J10" i="12" s="1"/>
  <c r="K10" i="12" s="1"/>
  <c r="L10" i="12" s="1"/>
  <c r="M10" i="12" s="1"/>
  <c r="N10" i="12" s="1"/>
  <c r="D11" i="12"/>
  <c r="D12" i="12"/>
  <c r="E12" i="12" s="1"/>
  <c r="F12" i="12" s="1"/>
  <c r="G12" i="12" s="1"/>
  <c r="H12" i="12" s="1"/>
  <c r="I12" i="12" s="1"/>
  <c r="J12" i="12" s="1"/>
  <c r="K12" i="12" s="1"/>
  <c r="L12" i="12" s="1"/>
  <c r="M12" i="12" s="1"/>
  <c r="N12" i="12" s="1"/>
  <c r="D13" i="12"/>
  <c r="E13" i="12"/>
  <c r="F13" i="12" s="1"/>
  <c r="G13" i="12" s="1"/>
  <c r="H13" i="12" s="1"/>
  <c r="I13" i="12" s="1"/>
  <c r="J13" i="12" s="1"/>
  <c r="K13" i="12" s="1"/>
  <c r="L13" i="12" s="1"/>
  <c r="M13" i="12" s="1"/>
  <c r="N13" i="12" s="1"/>
  <c r="D14" i="12"/>
  <c r="E14" i="12" s="1"/>
  <c r="F14" i="12" s="1"/>
  <c r="G14" i="12" s="1"/>
  <c r="H14" i="12" s="1"/>
  <c r="I14" i="12" s="1"/>
  <c r="J14" i="12" s="1"/>
  <c r="K14" i="12" s="1"/>
  <c r="L14" i="12" s="1"/>
  <c r="M14" i="12" s="1"/>
  <c r="N14" i="12" s="1"/>
  <c r="D15" i="12"/>
  <c r="E15" i="12"/>
  <c r="F15" i="12" s="1"/>
  <c r="G15" i="12" s="1"/>
  <c r="H15" i="12" s="1"/>
  <c r="I15" i="12" s="1"/>
  <c r="J15" i="12" s="1"/>
  <c r="K15" i="12" s="1"/>
  <c r="L15" i="12" s="1"/>
  <c r="M15" i="12" s="1"/>
  <c r="N15" i="12" s="1"/>
  <c r="D16" i="12"/>
  <c r="E16" i="12" s="1"/>
  <c r="F16" i="12" s="1"/>
  <c r="G16" i="12" s="1"/>
  <c r="H16" i="12" s="1"/>
  <c r="I16" i="12" s="1"/>
  <c r="J16" i="12" s="1"/>
  <c r="K16" i="12" s="1"/>
  <c r="L16" i="12" s="1"/>
  <c r="M16" i="12" s="1"/>
  <c r="N16" i="12" s="1"/>
  <c r="D17" i="12"/>
  <c r="E17" i="12"/>
  <c r="F17" i="12" s="1"/>
  <c r="G17" i="12" s="1"/>
  <c r="H17" i="12" s="1"/>
  <c r="I17" i="12" s="1"/>
  <c r="J17" i="12" s="1"/>
  <c r="K17" i="12" s="1"/>
  <c r="L17" i="12" s="1"/>
  <c r="M17" i="12" s="1"/>
  <c r="N17" i="12" s="1"/>
  <c r="D18" i="12"/>
  <c r="E18" i="12" s="1"/>
  <c r="F18" i="12" s="1"/>
  <c r="G18" i="12" s="1"/>
  <c r="H18" i="12" s="1"/>
  <c r="I18" i="12" s="1"/>
  <c r="J18" i="12" s="1"/>
  <c r="K18" i="12" s="1"/>
  <c r="L18" i="12" s="1"/>
  <c r="M18" i="12" s="1"/>
  <c r="N18" i="12" s="1"/>
  <c r="D19" i="12"/>
  <c r="E19" i="12"/>
  <c r="F19" i="12" s="1"/>
  <c r="G19" i="12" s="1"/>
  <c r="H19" i="12" s="1"/>
  <c r="I19" i="12" s="1"/>
  <c r="J19" i="12" s="1"/>
  <c r="K19" i="12" s="1"/>
  <c r="L19" i="12" s="1"/>
  <c r="M19" i="12" s="1"/>
  <c r="N19" i="12" s="1"/>
  <c r="C8" i="12"/>
  <c r="C9" i="12"/>
  <c r="C10" i="12"/>
  <c r="C12" i="12"/>
  <c r="C13" i="12"/>
  <c r="C14" i="12"/>
  <c r="C15" i="12"/>
  <c r="C16" i="12"/>
  <c r="C17" i="12"/>
  <c r="C18" i="12"/>
  <c r="C19" i="12"/>
  <c r="C7" i="12"/>
  <c r="B20" i="12"/>
  <c r="B17" i="12"/>
  <c r="B18" i="12"/>
  <c r="B19" i="12"/>
  <c r="B8" i="12"/>
  <c r="B9" i="12"/>
  <c r="B10" i="12"/>
  <c r="B11" i="12"/>
  <c r="B12" i="12"/>
  <c r="B13" i="12"/>
  <c r="B14" i="12"/>
  <c r="B15" i="12"/>
  <c r="B16" i="12"/>
  <c r="B7" i="12"/>
  <c r="G29" i="8"/>
  <c r="J5" i="8"/>
  <c r="K5" i="8" s="1"/>
  <c r="L5" i="8" s="1"/>
  <c r="M5" i="8" s="1"/>
  <c r="N5" i="8" s="1"/>
  <c r="O5" i="8" s="1"/>
  <c r="P5" i="8" s="1"/>
  <c r="Q5" i="8" s="1"/>
  <c r="R5" i="8" s="1"/>
  <c r="S5" i="8" s="1"/>
  <c r="I5" i="8"/>
  <c r="E240" i="6"/>
  <c r="F240" i="6" s="1"/>
  <c r="E241" i="6"/>
  <c r="F241" i="6" s="1"/>
  <c r="G241" i="6" s="1"/>
  <c r="H241" i="6" s="1"/>
  <c r="I241" i="6" s="1"/>
  <c r="J241" i="6" s="1"/>
  <c r="K241" i="6" s="1"/>
  <c r="L241" i="6" s="1"/>
  <c r="M241" i="6" s="1"/>
  <c r="N241" i="6" s="1"/>
  <c r="O241" i="6" s="1"/>
  <c r="D241" i="6"/>
  <c r="D240" i="6"/>
  <c r="P144" i="6"/>
  <c r="Q144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E151" i="6"/>
  <c r="F151" i="6"/>
  <c r="G151" i="6"/>
  <c r="H151" i="6"/>
  <c r="I151" i="6" s="1"/>
  <c r="D151" i="6"/>
  <c r="P265" i="6"/>
  <c r="Q265" i="6" s="1"/>
  <c r="P264" i="6"/>
  <c r="P267" i="6" s="1"/>
  <c r="P263" i="6"/>
  <c r="Q263" i="6" s="1"/>
  <c r="P256" i="6"/>
  <c r="Q256" i="6" s="1"/>
  <c r="P251" i="6"/>
  <c r="Q251" i="6" s="1"/>
  <c r="P250" i="6"/>
  <c r="Q250" i="6" s="1"/>
  <c r="P249" i="6"/>
  <c r="Q249" i="6" s="1"/>
  <c r="P248" i="6"/>
  <c r="Q248" i="6" s="1"/>
  <c r="P247" i="6"/>
  <c r="Q247" i="6" s="1"/>
  <c r="P246" i="6"/>
  <c r="Q246" i="6" s="1"/>
  <c r="P235" i="6"/>
  <c r="Q235" i="6" s="1"/>
  <c r="P234" i="6"/>
  <c r="Q234" i="6" s="1"/>
  <c r="P233" i="6"/>
  <c r="Q233" i="6" s="1"/>
  <c r="P232" i="6"/>
  <c r="Q232" i="6" s="1"/>
  <c r="P231" i="6"/>
  <c r="Q231" i="6" s="1"/>
  <c r="P230" i="6"/>
  <c r="Q230" i="6" s="1"/>
  <c r="P229" i="6"/>
  <c r="Q229" i="6" s="1"/>
  <c r="P228" i="6"/>
  <c r="Q228" i="6" s="1"/>
  <c r="P227" i="6"/>
  <c r="Q227" i="6" s="1"/>
  <c r="P226" i="6"/>
  <c r="Q226" i="6" s="1"/>
  <c r="P225" i="6"/>
  <c r="Q225" i="6" s="1"/>
  <c r="P224" i="6"/>
  <c r="Q224" i="6" s="1"/>
  <c r="P223" i="6"/>
  <c r="Q223" i="6" s="1"/>
  <c r="P222" i="6"/>
  <c r="Q222" i="6" s="1"/>
  <c r="P221" i="6"/>
  <c r="Q221" i="6" s="1"/>
  <c r="P220" i="6"/>
  <c r="Q220" i="6" s="1"/>
  <c r="Q237" i="6" s="1"/>
  <c r="P212" i="6"/>
  <c r="Q212" i="6" s="1"/>
  <c r="P211" i="6"/>
  <c r="Q211" i="6" s="1"/>
  <c r="P210" i="6"/>
  <c r="Q210" i="6" s="1"/>
  <c r="P209" i="6"/>
  <c r="Q209" i="6" s="1"/>
  <c r="P208" i="6"/>
  <c r="Q208" i="6" s="1"/>
  <c r="P207" i="6"/>
  <c r="Q207" i="6" s="1"/>
  <c r="P202" i="6"/>
  <c r="Q202" i="6" s="1"/>
  <c r="P201" i="6"/>
  <c r="Q201" i="6" s="1"/>
  <c r="P200" i="6"/>
  <c r="Q200" i="6" s="1"/>
  <c r="P199" i="6"/>
  <c r="P194" i="6"/>
  <c r="Q194" i="6" s="1"/>
  <c r="P193" i="6"/>
  <c r="Q193" i="6" s="1"/>
  <c r="P192" i="6"/>
  <c r="Q192" i="6" s="1"/>
  <c r="P191" i="6"/>
  <c r="Q191" i="6" s="1"/>
  <c r="P190" i="6"/>
  <c r="Q190" i="6" s="1"/>
  <c r="P189" i="6"/>
  <c r="P196" i="6" s="1"/>
  <c r="P184" i="6"/>
  <c r="Q184" i="6" s="1"/>
  <c r="P183" i="6"/>
  <c r="P186" i="6" s="1"/>
  <c r="P178" i="6"/>
  <c r="Q178" i="6" s="1"/>
  <c r="P177" i="6"/>
  <c r="Q177" i="6" s="1"/>
  <c r="P176" i="6"/>
  <c r="Q176" i="6" s="1"/>
  <c r="P175" i="6"/>
  <c r="Q175" i="6" s="1"/>
  <c r="P174" i="6"/>
  <c r="Q174" i="6" s="1"/>
  <c r="P173" i="6"/>
  <c r="Q173" i="6" s="1"/>
  <c r="P172" i="6"/>
  <c r="Q172" i="6" s="1"/>
  <c r="P171" i="6"/>
  <c r="O267" i="6"/>
  <c r="N267" i="6"/>
  <c r="M267" i="6"/>
  <c r="L267" i="6"/>
  <c r="K267" i="6"/>
  <c r="J267" i="6"/>
  <c r="I267" i="6"/>
  <c r="H267" i="6"/>
  <c r="G267" i="6"/>
  <c r="F267" i="6"/>
  <c r="E267" i="6"/>
  <c r="D267" i="6"/>
  <c r="O253" i="6"/>
  <c r="N253" i="6"/>
  <c r="M253" i="6"/>
  <c r="L253" i="6"/>
  <c r="K253" i="6"/>
  <c r="J253" i="6"/>
  <c r="I253" i="6"/>
  <c r="H253" i="6"/>
  <c r="G253" i="6"/>
  <c r="F253" i="6"/>
  <c r="E253" i="6"/>
  <c r="D253" i="6"/>
  <c r="E243" i="6"/>
  <c r="D243" i="6"/>
  <c r="O237" i="6"/>
  <c r="N237" i="6"/>
  <c r="M237" i="6"/>
  <c r="L237" i="6"/>
  <c r="K237" i="6"/>
  <c r="J237" i="6"/>
  <c r="I237" i="6"/>
  <c r="H237" i="6"/>
  <c r="G237" i="6"/>
  <c r="F237" i="6"/>
  <c r="E237" i="6"/>
  <c r="D237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6" i="6"/>
  <c r="N196" i="6"/>
  <c r="M196" i="6"/>
  <c r="L196" i="6"/>
  <c r="K196" i="6"/>
  <c r="J196" i="6"/>
  <c r="I196" i="6"/>
  <c r="H196" i="6"/>
  <c r="G196" i="6"/>
  <c r="F196" i="6"/>
  <c r="E196" i="6"/>
  <c r="D19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D68" i="6"/>
  <c r="E68" i="6"/>
  <c r="F68" i="6"/>
  <c r="G68" i="6"/>
  <c r="H68" i="6"/>
  <c r="I68" i="6"/>
  <c r="J68" i="6"/>
  <c r="K68" i="6"/>
  <c r="L68" i="6"/>
  <c r="M68" i="6"/>
  <c r="N68" i="6"/>
  <c r="O68" i="6"/>
  <c r="Q68" i="6"/>
  <c r="C68" i="6"/>
  <c r="O159" i="6"/>
  <c r="N159" i="6"/>
  <c r="N161" i="6" s="1"/>
  <c r="M159" i="6"/>
  <c r="M161" i="6" s="1"/>
  <c r="L159" i="6"/>
  <c r="L161" i="6" s="1"/>
  <c r="K159" i="6"/>
  <c r="J159" i="6"/>
  <c r="J161" i="6" s="1"/>
  <c r="I159" i="6"/>
  <c r="I161" i="6" s="1"/>
  <c r="H159" i="6"/>
  <c r="H161" i="6" s="1"/>
  <c r="G159" i="6"/>
  <c r="F159" i="6"/>
  <c r="F161" i="6" s="1"/>
  <c r="E159" i="6"/>
  <c r="E161" i="6" s="1"/>
  <c r="D159" i="6"/>
  <c r="D161" i="6" s="1"/>
  <c r="O144" i="6"/>
  <c r="N144" i="6"/>
  <c r="M144" i="6"/>
  <c r="L144" i="6"/>
  <c r="K144" i="6"/>
  <c r="J144" i="6"/>
  <c r="I144" i="6"/>
  <c r="H144" i="6"/>
  <c r="G144" i="6"/>
  <c r="F144" i="6"/>
  <c r="E144" i="6"/>
  <c r="D144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92" i="6"/>
  <c r="N92" i="6"/>
  <c r="M92" i="6"/>
  <c r="L92" i="6"/>
  <c r="K92" i="6"/>
  <c r="J92" i="6"/>
  <c r="I92" i="6"/>
  <c r="H92" i="6"/>
  <c r="G92" i="6"/>
  <c r="F92" i="6"/>
  <c r="E92" i="6"/>
  <c r="D92" i="6"/>
  <c r="D86" i="6"/>
  <c r="E86" i="6"/>
  <c r="F86" i="6"/>
  <c r="G86" i="6"/>
  <c r="H86" i="6"/>
  <c r="I86" i="6"/>
  <c r="J86" i="6"/>
  <c r="K86" i="6"/>
  <c r="L86" i="6"/>
  <c r="M86" i="6"/>
  <c r="N86" i="6"/>
  <c r="O86" i="6"/>
  <c r="D79" i="6"/>
  <c r="E79" i="6"/>
  <c r="F79" i="6"/>
  <c r="G79" i="6"/>
  <c r="H79" i="6"/>
  <c r="I79" i="6"/>
  <c r="J79" i="6"/>
  <c r="K79" i="6"/>
  <c r="L79" i="6"/>
  <c r="M79" i="6"/>
  <c r="N79" i="6"/>
  <c r="O79" i="6"/>
  <c r="D66" i="6"/>
  <c r="E66" i="6"/>
  <c r="F66" i="6"/>
  <c r="G66" i="6"/>
  <c r="H66" i="6"/>
  <c r="I66" i="6"/>
  <c r="J66" i="6"/>
  <c r="K66" i="6"/>
  <c r="L66" i="6"/>
  <c r="M66" i="6"/>
  <c r="N66" i="6"/>
  <c r="O66" i="6"/>
  <c r="D35" i="6"/>
  <c r="E35" i="6"/>
  <c r="F35" i="6"/>
  <c r="G35" i="6"/>
  <c r="H35" i="6"/>
  <c r="I35" i="6"/>
  <c r="J35" i="6"/>
  <c r="K35" i="6"/>
  <c r="L35" i="6"/>
  <c r="M35" i="6"/>
  <c r="N35" i="6"/>
  <c r="O35" i="6"/>
  <c r="D30" i="6"/>
  <c r="E30" i="6"/>
  <c r="F30" i="6"/>
  <c r="G30" i="6"/>
  <c r="H30" i="6"/>
  <c r="I30" i="6"/>
  <c r="J30" i="6"/>
  <c r="K30" i="6"/>
  <c r="L30" i="6"/>
  <c r="M30" i="6"/>
  <c r="N30" i="6"/>
  <c r="O30" i="6"/>
  <c r="P157" i="6"/>
  <c r="Q157" i="6" s="1"/>
  <c r="P156" i="6"/>
  <c r="Q156" i="6" s="1"/>
  <c r="Q159" i="6" s="1"/>
  <c r="Q161" i="6" s="1"/>
  <c r="P142" i="6"/>
  <c r="Q142" i="6" s="1"/>
  <c r="P137" i="6"/>
  <c r="Q137" i="6" s="1"/>
  <c r="P136" i="6"/>
  <c r="Q136" i="6" s="1"/>
  <c r="P131" i="6"/>
  <c r="Q131" i="6" s="1"/>
  <c r="P130" i="6"/>
  <c r="Q130" i="6" s="1"/>
  <c r="P129" i="6"/>
  <c r="Q129" i="6" s="1"/>
  <c r="P128" i="6"/>
  <c r="Q128" i="6" s="1"/>
  <c r="P127" i="6"/>
  <c r="Q127" i="6" s="1"/>
  <c r="P126" i="6"/>
  <c r="Q126" i="6" s="1"/>
  <c r="P125" i="6"/>
  <c r="Q125" i="6" s="1"/>
  <c r="P124" i="6"/>
  <c r="Q124" i="6" s="1"/>
  <c r="P123" i="6"/>
  <c r="Q123" i="6" s="1"/>
  <c r="P122" i="6"/>
  <c r="Q122" i="6" s="1"/>
  <c r="P121" i="6"/>
  <c r="Q121" i="6" s="1"/>
  <c r="P120" i="6"/>
  <c r="Q120" i="6" s="1"/>
  <c r="P119" i="6"/>
  <c r="Q119" i="6" s="1"/>
  <c r="P118" i="6"/>
  <c r="Q118" i="6" s="1"/>
  <c r="P117" i="6"/>
  <c r="Q117" i="6" s="1"/>
  <c r="P116" i="6"/>
  <c r="Q116" i="6" s="1"/>
  <c r="P115" i="6"/>
  <c r="Q115" i="6" s="1"/>
  <c r="P114" i="6"/>
  <c r="Q114" i="6" s="1"/>
  <c r="P113" i="6"/>
  <c r="Q113" i="6" s="1"/>
  <c r="P112" i="6"/>
  <c r="Q112" i="6" s="1"/>
  <c r="P111" i="6"/>
  <c r="Q111" i="6" s="1"/>
  <c r="P110" i="6"/>
  <c r="Q110" i="6" s="1"/>
  <c r="P109" i="6"/>
  <c r="Q109" i="6" s="1"/>
  <c r="P108" i="6"/>
  <c r="Q108" i="6" s="1"/>
  <c r="P107" i="6"/>
  <c r="Q107" i="6" s="1"/>
  <c r="P106" i="6"/>
  <c r="Q106" i="6" s="1"/>
  <c r="P105" i="6"/>
  <c r="Q105" i="6" s="1"/>
  <c r="P104" i="6"/>
  <c r="Q104" i="6" s="1"/>
  <c r="P103" i="6"/>
  <c r="Q103" i="6" s="1"/>
  <c r="P102" i="6"/>
  <c r="Q102" i="6" s="1"/>
  <c r="P98" i="6"/>
  <c r="Q98" i="6" s="1"/>
  <c r="P97" i="6"/>
  <c r="Q97" i="6" s="1"/>
  <c r="P96" i="6"/>
  <c r="Q96" i="6" s="1"/>
  <c r="P90" i="6"/>
  <c r="Q90" i="6" s="1"/>
  <c r="P89" i="6"/>
  <c r="Q89" i="6" s="1"/>
  <c r="Q92" i="6" s="1"/>
  <c r="P84" i="6"/>
  <c r="Q84" i="6" s="1"/>
  <c r="P83" i="6"/>
  <c r="Q83" i="6" s="1"/>
  <c r="P82" i="6"/>
  <c r="Q82" i="6" s="1"/>
  <c r="P76" i="6"/>
  <c r="Q76" i="6" s="1"/>
  <c r="P75" i="6"/>
  <c r="Q75" i="6" s="1"/>
  <c r="P74" i="6"/>
  <c r="Q74" i="6" s="1"/>
  <c r="P73" i="6"/>
  <c r="Q73" i="6" s="1"/>
  <c r="P64" i="6"/>
  <c r="Q64" i="6" s="1"/>
  <c r="P63" i="6"/>
  <c r="Q63" i="6" s="1"/>
  <c r="P62" i="6"/>
  <c r="Q62" i="6" s="1"/>
  <c r="P61" i="6"/>
  <c r="Q61" i="6" s="1"/>
  <c r="P60" i="6"/>
  <c r="Q60" i="6" s="1"/>
  <c r="P59" i="6"/>
  <c r="Q59" i="6" s="1"/>
  <c r="P51" i="6"/>
  <c r="Q51" i="6" s="1"/>
  <c r="P50" i="6"/>
  <c r="Q50" i="6" s="1"/>
  <c r="P49" i="6"/>
  <c r="Q49" i="6" s="1"/>
  <c r="P48" i="6"/>
  <c r="Q48" i="6" s="1"/>
  <c r="P47" i="6"/>
  <c r="Q47" i="6" s="1"/>
  <c r="P46" i="6"/>
  <c r="Q46" i="6" s="1"/>
  <c r="P45" i="6"/>
  <c r="Q45" i="6" s="1"/>
  <c r="P44" i="6"/>
  <c r="Q44" i="6" s="1"/>
  <c r="P43" i="6"/>
  <c r="Q43" i="6" s="1"/>
  <c r="P42" i="6"/>
  <c r="Q42" i="6" s="1"/>
  <c r="P41" i="6"/>
  <c r="Q41" i="6" s="1"/>
  <c r="P40" i="6"/>
  <c r="Q40" i="6" s="1"/>
  <c r="P39" i="6"/>
  <c r="Q39" i="6" s="1"/>
  <c r="C243" i="6"/>
  <c r="C237" i="6"/>
  <c r="C196" i="6"/>
  <c r="C186" i="6"/>
  <c r="C159" i="6"/>
  <c r="C153" i="6"/>
  <c r="C144" i="6"/>
  <c r="C139" i="6"/>
  <c r="C92" i="6"/>
  <c r="C33" i="6"/>
  <c r="C35" i="6" s="1"/>
  <c r="C30" i="6"/>
  <c r="P17" i="6"/>
  <c r="Q17" i="6" s="1"/>
  <c r="P18" i="6"/>
  <c r="Q18" i="6" s="1"/>
  <c r="P19" i="6"/>
  <c r="Q19" i="6" s="1"/>
  <c r="P20" i="6"/>
  <c r="Q20" i="6" s="1"/>
  <c r="P21" i="6"/>
  <c r="Q21" i="6" s="1"/>
  <c r="P22" i="6"/>
  <c r="Q22" i="6" s="1"/>
  <c r="P23" i="6"/>
  <c r="Q23" i="6" s="1"/>
  <c r="P24" i="6"/>
  <c r="Q24" i="6" s="1"/>
  <c r="P25" i="6"/>
  <c r="Q25" i="6" s="1"/>
  <c r="P26" i="6"/>
  <c r="Q26" i="6" s="1"/>
  <c r="P27" i="6"/>
  <c r="Q27" i="6" s="1"/>
  <c r="P28" i="6"/>
  <c r="Q28" i="6" s="1"/>
  <c r="P16" i="6"/>
  <c r="Q16" i="6" s="1"/>
  <c r="R210" i="7" l="1"/>
  <c r="R141" i="7"/>
  <c r="R173" i="7"/>
  <c r="R248" i="7"/>
  <c r="R249" i="7"/>
  <c r="R189" i="7"/>
  <c r="E268" i="7"/>
  <c r="E270" i="7" s="1"/>
  <c r="F268" i="7"/>
  <c r="F270" i="7" s="1"/>
  <c r="X190" i="7"/>
  <c r="W190" i="7"/>
  <c r="R190" i="7" s="1"/>
  <c r="Y190" i="7"/>
  <c r="P145" i="7"/>
  <c r="R255" i="7"/>
  <c r="R247" i="7"/>
  <c r="R245" i="7"/>
  <c r="C268" i="7"/>
  <c r="C270" i="7" s="1"/>
  <c r="R219" i="7"/>
  <c r="R226" i="7"/>
  <c r="R231" i="7"/>
  <c r="R223" i="7"/>
  <c r="R222" i="7"/>
  <c r="R221" i="7"/>
  <c r="R225" i="7"/>
  <c r="R230" i="7"/>
  <c r="R229" i="7"/>
  <c r="R228" i="7"/>
  <c r="R224" i="7"/>
  <c r="R220" i="7"/>
  <c r="R208" i="7"/>
  <c r="R206" i="7"/>
  <c r="R209" i="7"/>
  <c r="P203" i="7"/>
  <c r="R188" i="7"/>
  <c r="Q195" i="7"/>
  <c r="R176" i="7"/>
  <c r="R171" i="7"/>
  <c r="Q170" i="7"/>
  <c r="P179" i="7"/>
  <c r="P215" i="7" s="1"/>
  <c r="R174" i="7"/>
  <c r="R175" i="7"/>
  <c r="U138" i="7"/>
  <c r="Y138" i="7"/>
  <c r="P66" i="7"/>
  <c r="P68" i="7" s="1"/>
  <c r="P30" i="7"/>
  <c r="W92" i="7"/>
  <c r="V92" i="7"/>
  <c r="Y92" i="7"/>
  <c r="U92" i="7"/>
  <c r="X92" i="7"/>
  <c r="T92" i="7"/>
  <c r="X198" i="7"/>
  <c r="T198" i="7"/>
  <c r="R198" i="7" s="1"/>
  <c r="Q203" i="7"/>
  <c r="W198" i="7"/>
  <c r="V198" i="7"/>
  <c r="U198" i="7"/>
  <c r="Y198" i="7"/>
  <c r="F150" i="7"/>
  <c r="E152" i="7"/>
  <c r="E160" i="7" s="1"/>
  <c r="Y79" i="7"/>
  <c r="U79" i="7"/>
  <c r="X79" i="7"/>
  <c r="T79" i="7"/>
  <c r="W79" i="7"/>
  <c r="R79" i="7"/>
  <c r="V79" i="7"/>
  <c r="R250" i="7"/>
  <c r="W240" i="7"/>
  <c r="V240" i="7"/>
  <c r="Y240" i="7"/>
  <c r="U240" i="7"/>
  <c r="X240" i="7"/>
  <c r="T240" i="7"/>
  <c r="R227" i="7"/>
  <c r="H239" i="7"/>
  <c r="G242" i="7"/>
  <c r="G257" i="7" s="1"/>
  <c r="G268" i="7" s="1"/>
  <c r="G270" i="7" s="1"/>
  <c r="R207" i="7"/>
  <c r="W86" i="7"/>
  <c r="V86" i="7"/>
  <c r="Y86" i="7"/>
  <c r="U86" i="7"/>
  <c r="T86" i="7"/>
  <c r="X86" i="7"/>
  <c r="Q145" i="7"/>
  <c r="R246" i="7"/>
  <c r="R191" i="7"/>
  <c r="Q30" i="6"/>
  <c r="P33" i="6"/>
  <c r="Q33" i="6" s="1"/>
  <c r="Q35" i="6" s="1"/>
  <c r="P66" i="6"/>
  <c r="P68" i="6" s="1"/>
  <c r="Q86" i="6"/>
  <c r="P30" i="6"/>
  <c r="P92" i="6"/>
  <c r="E28" i="13"/>
  <c r="G36" i="13"/>
  <c r="H36" i="13" s="1"/>
  <c r="I36" i="13" s="1"/>
  <c r="J36" i="13" s="1"/>
  <c r="K36" i="13" s="1"/>
  <c r="L36" i="13" s="1"/>
  <c r="M36" i="13" s="1"/>
  <c r="N36" i="13" s="1"/>
  <c r="G35" i="13"/>
  <c r="H35" i="13" s="1"/>
  <c r="I35" i="13" s="1"/>
  <c r="J35" i="13" s="1"/>
  <c r="K35" i="13" s="1"/>
  <c r="L35" i="13" s="1"/>
  <c r="M35" i="13" s="1"/>
  <c r="N35" i="13" s="1"/>
  <c r="F30" i="13"/>
  <c r="G30" i="13" s="1"/>
  <c r="H30" i="13" s="1"/>
  <c r="I30" i="13" s="1"/>
  <c r="J30" i="13" s="1"/>
  <c r="K30" i="13" s="1"/>
  <c r="L30" i="13" s="1"/>
  <c r="M30" i="13" s="1"/>
  <c r="N30" i="13" s="1"/>
  <c r="F28" i="13"/>
  <c r="G28" i="13" s="1"/>
  <c r="H28" i="13" s="1"/>
  <c r="I28" i="13" s="1"/>
  <c r="J28" i="13" s="1"/>
  <c r="K28" i="13" s="1"/>
  <c r="L28" i="13" s="1"/>
  <c r="M28" i="13" s="1"/>
  <c r="N28" i="13" s="1"/>
  <c r="F29" i="13"/>
  <c r="G29" i="13" s="1"/>
  <c r="H29" i="13" s="1"/>
  <c r="I29" i="13" s="1"/>
  <c r="J29" i="13" s="1"/>
  <c r="K29" i="13" s="1"/>
  <c r="L29" i="13" s="1"/>
  <c r="M29" i="13" s="1"/>
  <c r="N29" i="13" s="1"/>
  <c r="F31" i="13"/>
  <c r="G31" i="13" s="1"/>
  <c r="H31" i="13" s="1"/>
  <c r="I31" i="13" s="1"/>
  <c r="J31" i="13" s="1"/>
  <c r="K31" i="13" s="1"/>
  <c r="L31" i="13" s="1"/>
  <c r="M31" i="13" s="1"/>
  <c r="N31" i="13" s="1"/>
  <c r="F27" i="13"/>
  <c r="G27" i="13" s="1"/>
  <c r="H27" i="13" s="1"/>
  <c r="I27" i="13" s="1"/>
  <c r="J27" i="13" s="1"/>
  <c r="K27" i="13" s="1"/>
  <c r="L27" i="13" s="1"/>
  <c r="M27" i="13" s="1"/>
  <c r="N27" i="13" s="1"/>
  <c r="F24" i="13"/>
  <c r="G24" i="13" s="1"/>
  <c r="H24" i="13" s="1"/>
  <c r="I24" i="13" s="1"/>
  <c r="J24" i="13" s="1"/>
  <c r="K24" i="13" s="1"/>
  <c r="L24" i="13" s="1"/>
  <c r="M24" i="13" s="1"/>
  <c r="N24" i="13" s="1"/>
  <c r="F26" i="13"/>
  <c r="G26" i="13" s="1"/>
  <c r="H26" i="13" s="1"/>
  <c r="I26" i="13" s="1"/>
  <c r="J26" i="13" s="1"/>
  <c r="K26" i="13" s="1"/>
  <c r="L26" i="13" s="1"/>
  <c r="M26" i="13" s="1"/>
  <c r="N26" i="13" s="1"/>
  <c r="F32" i="13"/>
  <c r="G32" i="13" s="1"/>
  <c r="H32" i="13" s="1"/>
  <c r="I32" i="13" s="1"/>
  <c r="J32" i="13" s="1"/>
  <c r="K32" i="13" s="1"/>
  <c r="L32" i="13" s="1"/>
  <c r="M32" i="13" s="1"/>
  <c r="N32" i="13" s="1"/>
  <c r="E33" i="13"/>
  <c r="F33" i="13" s="1"/>
  <c r="G33" i="13" s="1"/>
  <c r="H33" i="13" s="1"/>
  <c r="I33" i="13" s="1"/>
  <c r="J33" i="13" s="1"/>
  <c r="K33" i="13" s="1"/>
  <c r="L33" i="13" s="1"/>
  <c r="M33" i="13" s="1"/>
  <c r="N33" i="13" s="1"/>
  <c r="E25" i="13"/>
  <c r="F25" i="13" s="1"/>
  <c r="G25" i="13" s="1"/>
  <c r="H25" i="13" s="1"/>
  <c r="I25" i="13" s="1"/>
  <c r="J25" i="13" s="1"/>
  <c r="K25" i="13" s="1"/>
  <c r="L25" i="13" s="1"/>
  <c r="M25" i="13" s="1"/>
  <c r="N25" i="13" s="1"/>
  <c r="E33" i="12"/>
  <c r="E27" i="12"/>
  <c r="E31" i="12"/>
  <c r="F31" i="12" s="1"/>
  <c r="G31" i="12" s="1"/>
  <c r="H31" i="12" s="1"/>
  <c r="I31" i="12" s="1"/>
  <c r="J31" i="12" s="1"/>
  <c r="K31" i="12" s="1"/>
  <c r="L31" i="12" s="1"/>
  <c r="M31" i="12" s="1"/>
  <c r="N31" i="12" s="1"/>
  <c r="E26" i="12"/>
  <c r="F26" i="12" s="1"/>
  <c r="G26" i="12" s="1"/>
  <c r="H26" i="12" s="1"/>
  <c r="I26" i="12" s="1"/>
  <c r="J26" i="12" s="1"/>
  <c r="K26" i="12" s="1"/>
  <c r="L26" i="12" s="1"/>
  <c r="M26" i="12" s="1"/>
  <c r="N26" i="12" s="1"/>
  <c r="F51" i="12"/>
  <c r="F30" i="12"/>
  <c r="G30" i="12" s="1"/>
  <c r="H30" i="12" s="1"/>
  <c r="I30" i="12" s="1"/>
  <c r="J30" i="12" s="1"/>
  <c r="K30" i="12" s="1"/>
  <c r="L30" i="12" s="1"/>
  <c r="M30" i="12" s="1"/>
  <c r="N30" i="12" s="1"/>
  <c r="F25" i="12"/>
  <c r="G25" i="12" s="1"/>
  <c r="H25" i="12" s="1"/>
  <c r="I25" i="12" s="1"/>
  <c r="J25" i="12" s="1"/>
  <c r="K25" i="12" s="1"/>
  <c r="L25" i="12" s="1"/>
  <c r="M25" i="12" s="1"/>
  <c r="N25" i="12" s="1"/>
  <c r="E51" i="12"/>
  <c r="F33" i="12"/>
  <c r="G33" i="12" s="1"/>
  <c r="H33" i="12" s="1"/>
  <c r="I33" i="12" s="1"/>
  <c r="J33" i="12" s="1"/>
  <c r="K33" i="12" s="1"/>
  <c r="L33" i="12" s="1"/>
  <c r="M33" i="12" s="1"/>
  <c r="N33" i="12" s="1"/>
  <c r="F27" i="12"/>
  <c r="G27" i="12" s="1"/>
  <c r="H27" i="12" s="1"/>
  <c r="I27" i="12" s="1"/>
  <c r="J27" i="12" s="1"/>
  <c r="K27" i="12" s="1"/>
  <c r="L27" i="12" s="1"/>
  <c r="M27" i="12" s="1"/>
  <c r="N27" i="12" s="1"/>
  <c r="D32" i="12"/>
  <c r="E32" i="12" s="1"/>
  <c r="F32" i="12" s="1"/>
  <c r="G32" i="12" s="1"/>
  <c r="H32" i="12" s="1"/>
  <c r="I32" i="12" s="1"/>
  <c r="J32" i="12" s="1"/>
  <c r="K32" i="12" s="1"/>
  <c r="L32" i="12" s="1"/>
  <c r="M32" i="12" s="1"/>
  <c r="N32" i="12" s="1"/>
  <c r="D28" i="12"/>
  <c r="E28" i="12" s="1"/>
  <c r="F28" i="12" s="1"/>
  <c r="G28" i="12" s="1"/>
  <c r="H28" i="12" s="1"/>
  <c r="I28" i="12" s="1"/>
  <c r="J28" i="12" s="1"/>
  <c r="K28" i="12" s="1"/>
  <c r="L28" i="12" s="1"/>
  <c r="M28" i="12" s="1"/>
  <c r="N28" i="12" s="1"/>
  <c r="D29" i="12"/>
  <c r="E29" i="12" s="1"/>
  <c r="F29" i="12" s="1"/>
  <c r="G29" i="12" s="1"/>
  <c r="H29" i="12" s="1"/>
  <c r="I29" i="12" s="1"/>
  <c r="J29" i="12" s="1"/>
  <c r="K29" i="12" s="1"/>
  <c r="L29" i="12" s="1"/>
  <c r="M29" i="12" s="1"/>
  <c r="N29" i="12" s="1"/>
  <c r="D36" i="12"/>
  <c r="E36" i="12" s="1"/>
  <c r="F36" i="12" s="1"/>
  <c r="G36" i="12" s="1"/>
  <c r="H36" i="12" s="1"/>
  <c r="I36" i="12" s="1"/>
  <c r="J36" i="12" s="1"/>
  <c r="K36" i="12" s="1"/>
  <c r="L36" i="12" s="1"/>
  <c r="M36" i="12" s="1"/>
  <c r="N36" i="12" s="1"/>
  <c r="C34" i="12"/>
  <c r="D35" i="12"/>
  <c r="E24" i="12"/>
  <c r="F11" i="12"/>
  <c r="G11" i="12" s="1"/>
  <c r="I11" i="12" s="1"/>
  <c r="J11" i="12" s="1"/>
  <c r="K11" i="12" s="1"/>
  <c r="L11" i="12" s="1"/>
  <c r="M11" i="12" s="1"/>
  <c r="O161" i="6"/>
  <c r="K161" i="6"/>
  <c r="G161" i="6"/>
  <c r="P159" i="6"/>
  <c r="P161" i="6" s="1"/>
  <c r="Q139" i="6"/>
  <c r="P139" i="6"/>
  <c r="P86" i="6"/>
  <c r="P204" i="6"/>
  <c r="H216" i="6"/>
  <c r="E216" i="6"/>
  <c r="I216" i="6"/>
  <c r="M216" i="6"/>
  <c r="L216" i="6"/>
  <c r="F216" i="6"/>
  <c r="J216" i="6"/>
  <c r="N216" i="6"/>
  <c r="P180" i="6"/>
  <c r="D216" i="6"/>
  <c r="G216" i="6"/>
  <c r="K216" i="6"/>
  <c r="O216" i="6"/>
  <c r="E146" i="6"/>
  <c r="G146" i="6"/>
  <c r="F146" i="6"/>
  <c r="F243" i="6"/>
  <c r="G240" i="6"/>
  <c r="E258" i="6"/>
  <c r="E269" i="6" s="1"/>
  <c r="E271" i="6" s="1"/>
  <c r="P241" i="6"/>
  <c r="Q241" i="6" s="1"/>
  <c r="F258" i="6"/>
  <c r="D258" i="6"/>
  <c r="J151" i="6"/>
  <c r="Q264" i="6"/>
  <c r="Q267" i="6" s="1"/>
  <c r="Q253" i="6"/>
  <c r="P253" i="6"/>
  <c r="P237" i="6"/>
  <c r="Q214" i="6"/>
  <c r="P214" i="6"/>
  <c r="P216" i="6" s="1"/>
  <c r="Q199" i="6"/>
  <c r="Q204" i="6" s="1"/>
  <c r="Q189" i="6"/>
  <c r="Q196" i="6" s="1"/>
  <c r="Q183" i="6"/>
  <c r="Q186" i="6" s="1"/>
  <c r="Q171" i="6"/>
  <c r="Q180" i="6" s="1"/>
  <c r="C267" i="6"/>
  <c r="C66" i="6"/>
  <c r="C79" i="6"/>
  <c r="C180" i="6"/>
  <c r="C86" i="6"/>
  <c r="C204" i="6"/>
  <c r="C214" i="6"/>
  <c r="C253" i="6"/>
  <c r="C258" i="6" s="1"/>
  <c r="C161" i="6"/>
  <c r="R138" i="7" l="1"/>
  <c r="R240" i="7"/>
  <c r="Y170" i="7"/>
  <c r="U170" i="7"/>
  <c r="X170" i="7"/>
  <c r="V170" i="7"/>
  <c r="Q179" i="7"/>
  <c r="Q215" i="7" s="1"/>
  <c r="T170" i="7"/>
  <c r="W170" i="7"/>
  <c r="R92" i="7"/>
  <c r="R86" i="7"/>
  <c r="I239" i="7"/>
  <c r="H242" i="7"/>
  <c r="H257" i="7" s="1"/>
  <c r="H268" i="7" s="1"/>
  <c r="H270" i="7" s="1"/>
  <c r="G150" i="7"/>
  <c r="F152" i="7"/>
  <c r="F160" i="7" s="1"/>
  <c r="P35" i="6"/>
  <c r="G51" i="12"/>
  <c r="D34" i="12"/>
  <c r="D23" i="12"/>
  <c r="E35" i="12"/>
  <c r="F35" i="12" s="1"/>
  <c r="E23" i="12"/>
  <c r="F24" i="12"/>
  <c r="D269" i="6"/>
  <c r="D271" i="6" s="1"/>
  <c r="F269" i="6"/>
  <c r="F271" i="6" s="1"/>
  <c r="Q216" i="6"/>
  <c r="H146" i="6"/>
  <c r="H240" i="6"/>
  <c r="G243" i="6"/>
  <c r="G258" i="6" s="1"/>
  <c r="G269" i="6" s="1"/>
  <c r="G271" i="6" s="1"/>
  <c r="K151" i="6"/>
  <c r="C216" i="6"/>
  <c r="C146" i="6"/>
  <c r="C269" i="6"/>
  <c r="C271" i="6" s="1"/>
  <c r="R170" i="7" l="1"/>
  <c r="G152" i="7"/>
  <c r="G160" i="7" s="1"/>
  <c r="H150" i="7"/>
  <c r="I242" i="7"/>
  <c r="I257" i="7" s="1"/>
  <c r="I268" i="7" s="1"/>
  <c r="I270" i="7" s="1"/>
  <c r="J239" i="7"/>
  <c r="E34" i="12"/>
  <c r="H51" i="12"/>
  <c r="D37" i="12"/>
  <c r="E37" i="12"/>
  <c r="F34" i="12"/>
  <c r="G35" i="12"/>
  <c r="F23" i="12"/>
  <c r="G24" i="12"/>
  <c r="I146" i="6"/>
  <c r="I240" i="6"/>
  <c r="H243" i="6"/>
  <c r="H258" i="6" s="1"/>
  <c r="H269" i="6" s="1"/>
  <c r="H271" i="6" s="1"/>
  <c r="L151" i="6"/>
  <c r="J242" i="7" l="1"/>
  <c r="J257" i="7" s="1"/>
  <c r="J268" i="7" s="1"/>
  <c r="J270" i="7" s="1"/>
  <c r="K239" i="7"/>
  <c r="H152" i="7"/>
  <c r="H160" i="7" s="1"/>
  <c r="I150" i="7"/>
  <c r="I51" i="12"/>
  <c r="G23" i="12"/>
  <c r="H24" i="12"/>
  <c r="G34" i="12"/>
  <c r="H35" i="12"/>
  <c r="F37" i="12"/>
  <c r="J146" i="6"/>
  <c r="J240" i="6"/>
  <c r="I243" i="6"/>
  <c r="I258" i="6" s="1"/>
  <c r="I269" i="6" s="1"/>
  <c r="I271" i="6" s="1"/>
  <c r="M151" i="6"/>
  <c r="J150" i="7" l="1"/>
  <c r="I152" i="7"/>
  <c r="I160" i="7" s="1"/>
  <c r="L239" i="7"/>
  <c r="K242" i="7"/>
  <c r="K257" i="7" s="1"/>
  <c r="K268" i="7" s="1"/>
  <c r="K270" i="7" s="1"/>
  <c r="J51" i="12"/>
  <c r="G37" i="12"/>
  <c r="H34" i="12"/>
  <c r="I35" i="12"/>
  <c r="H23" i="12"/>
  <c r="I24" i="12"/>
  <c r="K146" i="6"/>
  <c r="K240" i="6"/>
  <c r="J243" i="6"/>
  <c r="J258" i="6" s="1"/>
  <c r="J269" i="6" s="1"/>
  <c r="J271" i="6" s="1"/>
  <c r="N151" i="6"/>
  <c r="M239" i="7" l="1"/>
  <c r="L242" i="7"/>
  <c r="L257" i="7" s="1"/>
  <c r="L268" i="7" s="1"/>
  <c r="L270" i="7" s="1"/>
  <c r="K150" i="7"/>
  <c r="J152" i="7"/>
  <c r="J160" i="7" s="1"/>
  <c r="K51" i="12"/>
  <c r="I23" i="12"/>
  <c r="J24" i="12"/>
  <c r="I34" i="12"/>
  <c r="J35" i="12"/>
  <c r="H37" i="12"/>
  <c r="L146" i="6"/>
  <c r="K243" i="6"/>
  <c r="K258" i="6" s="1"/>
  <c r="K269" i="6" s="1"/>
  <c r="K271" i="6" s="1"/>
  <c r="L240" i="6"/>
  <c r="O151" i="6"/>
  <c r="P151" i="6"/>
  <c r="Q151" i="6" s="1"/>
  <c r="K152" i="7" l="1"/>
  <c r="K160" i="7" s="1"/>
  <c r="L150" i="7"/>
  <c r="M242" i="7"/>
  <c r="M257" i="7" s="1"/>
  <c r="M268" i="7" s="1"/>
  <c r="M270" i="7" s="1"/>
  <c r="N239" i="7"/>
  <c r="L51" i="12"/>
  <c r="I37" i="12"/>
  <c r="J34" i="12"/>
  <c r="K35" i="12"/>
  <c r="J23" i="12"/>
  <c r="K24" i="12"/>
  <c r="M146" i="6"/>
  <c r="M240" i="6"/>
  <c r="L243" i="6"/>
  <c r="L258" i="6" s="1"/>
  <c r="L269" i="6" s="1"/>
  <c r="L271" i="6" s="1"/>
  <c r="L152" i="7" l="1"/>
  <c r="L160" i="7" s="1"/>
  <c r="M150" i="7"/>
  <c r="N242" i="7"/>
  <c r="N257" i="7" s="1"/>
  <c r="N268" i="7" s="1"/>
  <c r="N270" i="7" s="1"/>
  <c r="O239" i="7"/>
  <c r="N51" i="12"/>
  <c r="M51" i="12"/>
  <c r="K23" i="12"/>
  <c r="L24" i="12"/>
  <c r="K34" i="12"/>
  <c r="L35" i="12"/>
  <c r="J37" i="12"/>
  <c r="O146" i="6"/>
  <c r="N146" i="6"/>
  <c r="P95" i="6"/>
  <c r="M243" i="6"/>
  <c r="M258" i="6" s="1"/>
  <c r="M269" i="6" s="1"/>
  <c r="M271" i="6" s="1"/>
  <c r="N240" i="6"/>
  <c r="AF239" i="7" l="1"/>
  <c r="AF271" i="7" s="1"/>
  <c r="AB239" i="7"/>
  <c r="AB271" i="7" s="1"/>
  <c r="AE239" i="7"/>
  <c r="AE271" i="7" s="1"/>
  <c r="AD239" i="7"/>
  <c r="AD271" i="7" s="1"/>
  <c r="O242" i="7"/>
  <c r="O257" i="7" s="1"/>
  <c r="O268" i="7" s="1"/>
  <c r="O270" i="7" s="1"/>
  <c r="AC239" i="7"/>
  <c r="AC271" i="7" s="1"/>
  <c r="AG239" i="7"/>
  <c r="AG271" i="7" s="1"/>
  <c r="P239" i="7"/>
  <c r="N150" i="7"/>
  <c r="M152" i="7"/>
  <c r="M160" i="7" s="1"/>
  <c r="K37" i="12"/>
  <c r="L34" i="12"/>
  <c r="M35" i="12"/>
  <c r="L23" i="12"/>
  <c r="M24" i="12"/>
  <c r="Q95" i="6"/>
  <c r="Q133" i="6" s="1"/>
  <c r="P133" i="6"/>
  <c r="O240" i="6"/>
  <c r="O243" i="6" s="1"/>
  <c r="O258" i="6" s="1"/>
  <c r="O269" i="6" s="1"/>
  <c r="O271" i="6" s="1"/>
  <c r="N243" i="6"/>
  <c r="N258" i="6" s="1"/>
  <c r="N269" i="6" s="1"/>
  <c r="N271" i="6" s="1"/>
  <c r="P240" i="6"/>
  <c r="Q239" i="7" l="1"/>
  <c r="P242" i="7"/>
  <c r="P257" i="7" s="1"/>
  <c r="P268" i="7" s="1"/>
  <c r="P270" i="7" s="1"/>
  <c r="O150" i="7"/>
  <c r="N152" i="7"/>
  <c r="N160" i="7" s="1"/>
  <c r="M23" i="12"/>
  <c r="N24" i="12"/>
  <c r="N23" i="12" s="1"/>
  <c r="M34" i="12"/>
  <c r="N35" i="12"/>
  <c r="N34" i="12" s="1"/>
  <c r="L37" i="12"/>
  <c r="Q240" i="6"/>
  <c r="Q243" i="6" s="1"/>
  <c r="Q258" i="6" s="1"/>
  <c r="Q269" i="6" s="1"/>
  <c r="Q271" i="6" s="1"/>
  <c r="P243" i="6"/>
  <c r="P258" i="6" s="1"/>
  <c r="P269" i="6" s="1"/>
  <c r="P271" i="6" s="1"/>
  <c r="O152" i="7" l="1"/>
  <c r="O160" i="7" s="1"/>
  <c r="P150" i="7"/>
  <c r="V239" i="7"/>
  <c r="V271" i="7" s="1"/>
  <c r="Q242" i="7"/>
  <c r="Q257" i="7" s="1"/>
  <c r="Q268" i="7" s="1"/>
  <c r="Q270" i="7" s="1"/>
  <c r="Y239" i="7"/>
  <c r="Y271" i="7" s="1"/>
  <c r="U239" i="7"/>
  <c r="U271" i="7" s="1"/>
  <c r="X239" i="7"/>
  <c r="X271" i="7" s="1"/>
  <c r="T239" i="7"/>
  <c r="T271" i="7" s="1"/>
  <c r="W239" i="7"/>
  <c r="W271" i="7" s="1"/>
  <c r="N37" i="12"/>
  <c r="M37" i="12"/>
  <c r="P152" i="7" l="1"/>
  <c r="P160" i="7" s="1"/>
  <c r="Q150" i="7"/>
  <c r="Q152" i="7" s="1"/>
  <c r="Q160" i="7" s="1"/>
  <c r="R239" i="7"/>
  <c r="H23" i="16"/>
  <c r="H24" i="16" s="1"/>
  <c r="F23" i="16"/>
  <c r="F24" i="16" s="1"/>
  <c r="E23" i="16"/>
  <c r="D23" i="16"/>
  <c r="D24" i="16" s="1"/>
  <c r="C23" i="16"/>
  <c r="C24" i="16" s="1"/>
  <c r="B23" i="16"/>
  <c r="B24" i="16" s="1"/>
  <c r="G22" i="16"/>
  <c r="G21" i="16"/>
  <c r="G23" i="16" s="1"/>
  <c r="G24" i="16" s="1"/>
  <c r="H14" i="16"/>
  <c r="G10" i="16"/>
  <c r="G9" i="16"/>
  <c r="E9" i="16"/>
  <c r="D9" i="16"/>
  <c r="C9" i="16"/>
  <c r="B9" i="16"/>
  <c r="G8" i="16"/>
  <c r="F8" i="16"/>
  <c r="F10" i="16" s="1"/>
  <c r="E8" i="16"/>
  <c r="E10" i="16" s="1"/>
  <c r="D8" i="16"/>
  <c r="D10" i="16" s="1"/>
  <c r="C8" i="16"/>
  <c r="C10" i="16" s="1"/>
  <c r="C11" i="16" s="1"/>
  <c r="B8" i="16"/>
  <c r="B10" i="16" s="1"/>
  <c r="H7" i="16"/>
  <c r="H6" i="16"/>
  <c r="H5" i="16"/>
  <c r="G4" i="16"/>
  <c r="H4" i="16" s="1"/>
  <c r="H8" i="16" s="1"/>
  <c r="H10" i="16" s="1"/>
  <c r="H23" i="15"/>
  <c r="H24" i="15" s="1"/>
  <c r="F23" i="15"/>
  <c r="E23" i="15"/>
  <c r="D23" i="15"/>
  <c r="D24" i="15" s="1"/>
  <c r="C23" i="15"/>
  <c r="C24" i="15" s="1"/>
  <c r="B23" i="15"/>
  <c r="G22" i="15"/>
  <c r="G21" i="15"/>
  <c r="G23" i="15" s="1"/>
  <c r="G24" i="15" s="1"/>
  <c r="H14" i="15"/>
  <c r="G9" i="15"/>
  <c r="E9" i="15"/>
  <c r="D9" i="15"/>
  <c r="C9" i="15"/>
  <c r="B9" i="15"/>
  <c r="G8" i="15"/>
  <c r="G10" i="15" s="1"/>
  <c r="F8" i="15"/>
  <c r="F10" i="15" s="1"/>
  <c r="E8" i="15"/>
  <c r="E10" i="15" s="1"/>
  <c r="D8" i="15"/>
  <c r="D10" i="15" s="1"/>
  <c r="C8" i="15"/>
  <c r="C10" i="15" s="1"/>
  <c r="B8" i="15"/>
  <c r="B10" i="15" s="1"/>
  <c r="H7" i="15"/>
  <c r="H6" i="15"/>
  <c r="H5" i="15"/>
  <c r="G4" i="15"/>
  <c r="H4" i="15" s="1"/>
  <c r="H8" i="15" s="1"/>
  <c r="H10" i="15" s="1"/>
  <c r="H23" i="14"/>
  <c r="H24" i="14" s="1"/>
  <c r="F23" i="14"/>
  <c r="F24" i="14" s="1"/>
  <c r="E23" i="14"/>
  <c r="D23" i="14"/>
  <c r="D24" i="14" s="1"/>
  <c r="C23" i="14"/>
  <c r="C24" i="14" s="1"/>
  <c r="B23" i="14"/>
  <c r="B24" i="14" s="1"/>
  <c r="G22" i="14"/>
  <c r="G21" i="14"/>
  <c r="G23" i="14" s="1"/>
  <c r="G24" i="14" s="1"/>
  <c r="H14" i="14"/>
  <c r="G9" i="14"/>
  <c r="E9" i="14"/>
  <c r="D9" i="14"/>
  <c r="C9" i="14"/>
  <c r="B9" i="14"/>
  <c r="G8" i="14"/>
  <c r="G10" i="14" s="1"/>
  <c r="F8" i="14"/>
  <c r="F10" i="14" s="1"/>
  <c r="E8" i="14"/>
  <c r="E10" i="14" s="1"/>
  <c r="D8" i="14"/>
  <c r="D10" i="14" s="1"/>
  <c r="C8" i="14"/>
  <c r="C10" i="14" s="1"/>
  <c r="B8" i="14"/>
  <c r="B10" i="14" s="1"/>
  <c r="H7" i="14"/>
  <c r="H6" i="14"/>
  <c r="H5" i="14"/>
  <c r="G4" i="14"/>
  <c r="H4" i="14" s="1"/>
  <c r="H8" i="14" s="1"/>
  <c r="H10" i="14" s="1"/>
  <c r="O53" i="13"/>
  <c r="O52" i="13"/>
  <c r="P51" i="13"/>
  <c r="N51" i="13"/>
  <c r="M51" i="13"/>
  <c r="L51" i="13"/>
  <c r="K51" i="13"/>
  <c r="J51" i="13"/>
  <c r="I51" i="13"/>
  <c r="H51" i="13"/>
  <c r="H54" i="13" s="1"/>
  <c r="G51" i="13"/>
  <c r="F51" i="13"/>
  <c r="E51" i="13"/>
  <c r="D51" i="13"/>
  <c r="C51" i="13"/>
  <c r="O50" i="13"/>
  <c r="O49" i="13"/>
  <c r="O48" i="13"/>
  <c r="O47" i="13"/>
  <c r="O46" i="13"/>
  <c r="O45" i="13"/>
  <c r="O44" i="13"/>
  <c r="O43" i="13"/>
  <c r="O42" i="13"/>
  <c r="O41" i="13"/>
  <c r="N40" i="13"/>
  <c r="M40" i="13"/>
  <c r="L40" i="13"/>
  <c r="K40" i="13"/>
  <c r="J40" i="13"/>
  <c r="I40" i="13"/>
  <c r="H40" i="13"/>
  <c r="G40" i="13"/>
  <c r="F40" i="13"/>
  <c r="F54" i="13" s="1"/>
  <c r="E40" i="13"/>
  <c r="D40" i="13"/>
  <c r="C40" i="13"/>
  <c r="C54" i="13" s="1"/>
  <c r="O36" i="13"/>
  <c r="O35" i="13"/>
  <c r="U35" i="13" s="1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B37" i="13" s="1"/>
  <c r="O33" i="13"/>
  <c r="O32" i="13"/>
  <c r="U32" i="13" s="1"/>
  <c r="O31" i="13"/>
  <c r="O30" i="13"/>
  <c r="O29" i="13"/>
  <c r="O28" i="13"/>
  <c r="T28" i="13" s="1"/>
  <c r="O27" i="13"/>
  <c r="O26" i="13"/>
  <c r="O25" i="13"/>
  <c r="O24" i="13"/>
  <c r="U24" i="13" s="1"/>
  <c r="N23" i="13"/>
  <c r="M23" i="13"/>
  <c r="L23" i="13"/>
  <c r="K23" i="13"/>
  <c r="K37" i="13" s="1"/>
  <c r="J23" i="13"/>
  <c r="I23" i="13"/>
  <c r="H23" i="13"/>
  <c r="G23" i="13"/>
  <c r="G37" i="13" s="1"/>
  <c r="F23" i="13"/>
  <c r="F37" i="13" s="1"/>
  <c r="E23" i="13"/>
  <c r="D23" i="13"/>
  <c r="C23" i="13"/>
  <c r="B23" i="13"/>
  <c r="O19" i="13"/>
  <c r="O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O16" i="13"/>
  <c r="O15" i="13"/>
  <c r="O14" i="13"/>
  <c r="O13" i="13"/>
  <c r="T13" i="13" s="1"/>
  <c r="O12" i="13"/>
  <c r="O11" i="13"/>
  <c r="O10" i="13"/>
  <c r="O9" i="13"/>
  <c r="O8" i="13"/>
  <c r="O7" i="13"/>
  <c r="N6" i="13"/>
  <c r="M6" i="13"/>
  <c r="M20" i="13" s="1"/>
  <c r="L6" i="13"/>
  <c r="K6" i="13"/>
  <c r="J6" i="13"/>
  <c r="I6" i="13"/>
  <c r="I20" i="13" s="1"/>
  <c r="H6" i="13"/>
  <c r="G6" i="13"/>
  <c r="F6" i="13"/>
  <c r="E6" i="13"/>
  <c r="D6" i="13"/>
  <c r="C6" i="13"/>
  <c r="B20" i="13"/>
  <c r="W3" i="13"/>
  <c r="V3" i="13"/>
  <c r="U3" i="13"/>
  <c r="U26" i="13" s="1"/>
  <c r="T3" i="13"/>
  <c r="AB3" i="13" s="1"/>
  <c r="S3" i="13"/>
  <c r="R3" i="13"/>
  <c r="O53" i="12"/>
  <c r="O52" i="12"/>
  <c r="P51" i="12"/>
  <c r="O50" i="12"/>
  <c r="O49" i="12"/>
  <c r="O48" i="12"/>
  <c r="O47" i="12"/>
  <c r="O46" i="12"/>
  <c r="O45" i="12"/>
  <c r="O44" i="12"/>
  <c r="O43" i="12"/>
  <c r="O42" i="12"/>
  <c r="O41" i="12"/>
  <c r="N40" i="12"/>
  <c r="N54" i="12" s="1"/>
  <c r="M40" i="12"/>
  <c r="M54" i="12" s="1"/>
  <c r="L40" i="12"/>
  <c r="L54" i="12" s="1"/>
  <c r="K40" i="12"/>
  <c r="K54" i="12" s="1"/>
  <c r="J40" i="12"/>
  <c r="J54" i="12" s="1"/>
  <c r="I40" i="12"/>
  <c r="I54" i="12" s="1"/>
  <c r="H40" i="12"/>
  <c r="H54" i="12" s="1"/>
  <c r="G40" i="12"/>
  <c r="G54" i="12" s="1"/>
  <c r="F40" i="12"/>
  <c r="F54" i="12" s="1"/>
  <c r="E40" i="12"/>
  <c r="E54" i="12" s="1"/>
  <c r="D40" i="12"/>
  <c r="D54" i="12" s="1"/>
  <c r="C40" i="12"/>
  <c r="O36" i="12"/>
  <c r="O35" i="12"/>
  <c r="O33" i="12"/>
  <c r="O32" i="12"/>
  <c r="O31" i="12"/>
  <c r="O30" i="12"/>
  <c r="O29" i="12"/>
  <c r="O28" i="12"/>
  <c r="O27" i="12"/>
  <c r="O26" i="12"/>
  <c r="O25" i="12"/>
  <c r="O24" i="12"/>
  <c r="C23" i="12"/>
  <c r="C37" i="12" s="1"/>
  <c r="B23" i="12"/>
  <c r="B37" i="12" s="1"/>
  <c r="O19" i="12"/>
  <c r="O18" i="12"/>
  <c r="O16" i="12"/>
  <c r="O15" i="12"/>
  <c r="O14" i="12"/>
  <c r="O13" i="12"/>
  <c r="O12" i="12"/>
  <c r="O11" i="12"/>
  <c r="O10" i="12"/>
  <c r="V10" i="12" s="1"/>
  <c r="O9" i="12"/>
  <c r="O8" i="12"/>
  <c r="O7" i="12"/>
  <c r="N6" i="12"/>
  <c r="M6" i="12"/>
  <c r="L6" i="12"/>
  <c r="L20" i="12" s="1"/>
  <c r="K6" i="12"/>
  <c r="J6" i="12"/>
  <c r="J20" i="12" s="1"/>
  <c r="I6" i="12"/>
  <c r="H6" i="12"/>
  <c r="H20" i="12" s="1"/>
  <c r="G6" i="12"/>
  <c r="F6" i="12"/>
  <c r="F20" i="12" s="1"/>
  <c r="E6" i="12"/>
  <c r="D6" i="12"/>
  <c r="D20" i="12" s="1"/>
  <c r="C6" i="12"/>
  <c r="B6" i="12"/>
  <c r="W3" i="12"/>
  <c r="AE3" i="12" s="1"/>
  <c r="AE17" i="12" s="1"/>
  <c r="V3" i="12"/>
  <c r="U3" i="12"/>
  <c r="AC3" i="12" s="1"/>
  <c r="T3" i="12"/>
  <c r="T15" i="12" s="1"/>
  <c r="S3" i="12"/>
  <c r="AA3" i="12" s="1"/>
  <c r="R3" i="12"/>
  <c r="M15" i="11"/>
  <c r="M17" i="11" s="1"/>
  <c r="L15" i="11"/>
  <c r="L17" i="11" s="1"/>
  <c r="K15" i="11"/>
  <c r="K17" i="11" s="1"/>
  <c r="J15" i="11"/>
  <c r="J17" i="11" s="1"/>
  <c r="I15" i="11"/>
  <c r="I17" i="11" s="1"/>
  <c r="H15" i="11"/>
  <c r="H17" i="11" s="1"/>
  <c r="G15" i="11"/>
  <c r="G17" i="11" s="1"/>
  <c r="F15" i="11"/>
  <c r="F17" i="11" s="1"/>
  <c r="E15" i="11"/>
  <c r="E17" i="11" s="1"/>
  <c r="D15" i="11"/>
  <c r="D17" i="11" s="1"/>
  <c r="C15" i="11"/>
  <c r="C17" i="11" s="1"/>
  <c r="B15" i="11"/>
  <c r="B17" i="11" s="1"/>
  <c r="V13" i="11"/>
  <c r="N12" i="11"/>
  <c r="N11" i="11"/>
  <c r="N10" i="11"/>
  <c r="N9" i="11"/>
  <c r="N15" i="11" s="1"/>
  <c r="N8" i="11"/>
  <c r="N7" i="11"/>
  <c r="N6" i="11"/>
  <c r="N5" i="11"/>
  <c r="V5" i="11" s="1"/>
  <c r="N4" i="11"/>
  <c r="V3" i="11"/>
  <c r="V14" i="11" s="1"/>
  <c r="U3" i="11"/>
  <c r="U16" i="11" s="1"/>
  <c r="T3" i="11"/>
  <c r="T16" i="11" s="1"/>
  <c r="S3" i="11"/>
  <c r="R3" i="11"/>
  <c r="R14" i="11" s="1"/>
  <c r="Q3" i="11"/>
  <c r="Q16" i="11" s="1"/>
  <c r="L17" i="10"/>
  <c r="D17" i="10"/>
  <c r="M15" i="10"/>
  <c r="M17" i="10" s="1"/>
  <c r="L15" i="10"/>
  <c r="K15" i="10"/>
  <c r="K17" i="10" s="1"/>
  <c r="J15" i="10"/>
  <c r="J17" i="10" s="1"/>
  <c r="I15" i="10"/>
  <c r="I17" i="10" s="1"/>
  <c r="H15" i="10"/>
  <c r="H17" i="10" s="1"/>
  <c r="G15" i="10"/>
  <c r="G17" i="10" s="1"/>
  <c r="F15" i="10"/>
  <c r="F17" i="10" s="1"/>
  <c r="E15" i="10"/>
  <c r="E17" i="10" s="1"/>
  <c r="D15" i="10"/>
  <c r="C15" i="10"/>
  <c r="C17" i="10" s="1"/>
  <c r="B15" i="10"/>
  <c r="B17" i="10" s="1"/>
  <c r="N12" i="10"/>
  <c r="N11" i="10"/>
  <c r="N10" i="10"/>
  <c r="N9" i="10"/>
  <c r="N8" i="10"/>
  <c r="N7" i="10"/>
  <c r="N6" i="10"/>
  <c r="N5" i="10"/>
  <c r="N4" i="10"/>
  <c r="V3" i="10"/>
  <c r="V10" i="10" s="1"/>
  <c r="U3" i="10"/>
  <c r="U14" i="10" s="1"/>
  <c r="T3" i="10"/>
  <c r="T16" i="10" s="1"/>
  <c r="S3" i="10"/>
  <c r="R3" i="10"/>
  <c r="R16" i="10" s="1"/>
  <c r="Q3" i="10"/>
  <c r="Q14" i="10" s="1"/>
  <c r="D103" i="9"/>
  <c r="D109" i="9" s="1"/>
  <c r="D94" i="9"/>
  <c r="D100" i="9" s="1"/>
  <c r="D91" i="9"/>
  <c r="D85" i="9"/>
  <c r="D88" i="9" s="1"/>
  <c r="D76" i="9"/>
  <c r="D79" i="9" s="1"/>
  <c r="D67" i="9"/>
  <c r="D73" i="9" s="1"/>
  <c r="D58" i="9"/>
  <c r="D64" i="9" s="1"/>
  <c r="P57" i="9"/>
  <c r="O57" i="9"/>
  <c r="N57" i="9"/>
  <c r="M57" i="9"/>
  <c r="L57" i="9"/>
  <c r="K57" i="9"/>
  <c r="J57" i="9"/>
  <c r="I57" i="9"/>
  <c r="H57" i="9"/>
  <c r="G57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T44" i="9"/>
  <c r="T34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T25" i="9"/>
  <c r="S24" i="9"/>
  <c r="R24" i="9"/>
  <c r="Q24" i="9"/>
  <c r="P24" i="9"/>
  <c r="O24" i="9"/>
  <c r="N24" i="9"/>
  <c r="M24" i="9"/>
  <c r="L24" i="9"/>
  <c r="T23" i="9"/>
  <c r="T20" i="9"/>
  <c r="T19" i="9"/>
  <c r="T16" i="9"/>
  <c r="P26" i="9"/>
  <c r="H26" i="9"/>
  <c r="T13" i="9"/>
  <c r="R10" i="9"/>
  <c r="S8" i="9"/>
  <c r="R8" i="9"/>
  <c r="R88" i="9" s="1"/>
  <c r="R89" i="9" s="1"/>
  <c r="Q8" i="9"/>
  <c r="Q10" i="9" s="1"/>
  <c r="P8" i="9"/>
  <c r="O8" i="9"/>
  <c r="N8" i="9"/>
  <c r="M8" i="9"/>
  <c r="M10" i="9" s="1"/>
  <c r="L8" i="9"/>
  <c r="K8" i="9"/>
  <c r="K10" i="9" s="1"/>
  <c r="J8" i="9"/>
  <c r="J10" i="9" s="1"/>
  <c r="I8" i="9"/>
  <c r="I10" i="9" s="1"/>
  <c r="H8" i="9"/>
  <c r="G8" i="9"/>
  <c r="Q57" i="9"/>
  <c r="D103" i="8"/>
  <c r="D94" i="8"/>
  <c r="D100" i="8" s="1"/>
  <c r="D85" i="8"/>
  <c r="D91" i="8" s="1"/>
  <c r="D76" i="8"/>
  <c r="D82" i="8" s="1"/>
  <c r="D67" i="8"/>
  <c r="D73" i="8" s="1"/>
  <c r="D58" i="8"/>
  <c r="D64" i="8" s="1"/>
  <c r="P57" i="8"/>
  <c r="O57" i="8"/>
  <c r="N57" i="8"/>
  <c r="M57" i="8"/>
  <c r="L57" i="8"/>
  <c r="K57" i="8"/>
  <c r="J57" i="8"/>
  <c r="I57" i="8"/>
  <c r="H57" i="8"/>
  <c r="G57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T44" i="8"/>
  <c r="T34" i="8"/>
  <c r="T25" i="8"/>
  <c r="T24" i="8"/>
  <c r="T23" i="8"/>
  <c r="T22" i="8"/>
  <c r="T21" i="8"/>
  <c r="T20" i="8"/>
  <c r="T19" i="8"/>
  <c r="T18" i="8"/>
  <c r="T17" i="8"/>
  <c r="T16" i="8"/>
  <c r="T15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T13" i="8"/>
  <c r="R10" i="8"/>
  <c r="N10" i="8"/>
  <c r="J10" i="8"/>
  <c r="S10" i="8"/>
  <c r="O10" i="8"/>
  <c r="K10" i="8"/>
  <c r="G10" i="8"/>
  <c r="AH253" i="7"/>
  <c r="AH248" i="7"/>
  <c r="AH247" i="7"/>
  <c r="AH246" i="7"/>
  <c r="AH245" i="7"/>
  <c r="AH244" i="7"/>
  <c r="AH243" i="7"/>
  <c r="AH238" i="7"/>
  <c r="AH229" i="7"/>
  <c r="AH228" i="7"/>
  <c r="AH227" i="7"/>
  <c r="AH226" i="7"/>
  <c r="AH225" i="7"/>
  <c r="AH224" i="7"/>
  <c r="AH223" i="7"/>
  <c r="AH222" i="7"/>
  <c r="AH221" i="7"/>
  <c r="AH220" i="7"/>
  <c r="AH219" i="7"/>
  <c r="AH217" i="7"/>
  <c r="AH216" i="7"/>
  <c r="AH209" i="7"/>
  <c r="AH208" i="7"/>
  <c r="AH207" i="7"/>
  <c r="AH206" i="7"/>
  <c r="AH205" i="7"/>
  <c r="AH204" i="7"/>
  <c r="AH197" i="7"/>
  <c r="AH196" i="7"/>
  <c r="AH191" i="7"/>
  <c r="AH190" i="7"/>
  <c r="AH189" i="7"/>
  <c r="AH188" i="7"/>
  <c r="AH187" i="7"/>
  <c r="AH186" i="7"/>
  <c r="AH174" i="7"/>
  <c r="AH173" i="7"/>
  <c r="AH172" i="7"/>
  <c r="AH171" i="7"/>
  <c r="AH170" i="7"/>
  <c r="AH169" i="7"/>
  <c r="AH168" i="7"/>
  <c r="AH139" i="7"/>
  <c r="AH136" i="7"/>
  <c r="AH92" i="7"/>
  <c r="AH86" i="7"/>
  <c r="AG256" i="6"/>
  <c r="AF256" i="6"/>
  <c r="AE256" i="6"/>
  <c r="AD256" i="6"/>
  <c r="AC256" i="6"/>
  <c r="AB256" i="6"/>
  <c r="Y256" i="6"/>
  <c r="X256" i="6"/>
  <c r="W256" i="6"/>
  <c r="V256" i="6"/>
  <c r="U256" i="6"/>
  <c r="R256" i="6" s="1"/>
  <c r="T256" i="6"/>
  <c r="AG251" i="6"/>
  <c r="AF251" i="6"/>
  <c r="AE251" i="6"/>
  <c r="AD251" i="6"/>
  <c r="AC251" i="6"/>
  <c r="AB251" i="6"/>
  <c r="Y251" i="6"/>
  <c r="X251" i="6"/>
  <c r="W251" i="6"/>
  <c r="V251" i="6"/>
  <c r="U251" i="6"/>
  <c r="T251" i="6"/>
  <c r="AG250" i="6"/>
  <c r="AF250" i="6"/>
  <c r="AE250" i="6"/>
  <c r="AD250" i="6"/>
  <c r="AC250" i="6"/>
  <c r="AB250" i="6"/>
  <c r="Y250" i="6"/>
  <c r="X250" i="6"/>
  <c r="W250" i="6"/>
  <c r="V250" i="6"/>
  <c r="U250" i="6"/>
  <c r="T250" i="6"/>
  <c r="AG249" i="6"/>
  <c r="AF249" i="6"/>
  <c r="AE249" i="6"/>
  <c r="AD249" i="6"/>
  <c r="AC249" i="6"/>
  <c r="AB249" i="6"/>
  <c r="Y249" i="6"/>
  <c r="X249" i="6"/>
  <c r="W249" i="6"/>
  <c r="V249" i="6"/>
  <c r="U249" i="6"/>
  <c r="T249" i="6"/>
  <c r="AG248" i="6"/>
  <c r="AF248" i="6"/>
  <c r="AE248" i="6"/>
  <c r="AD248" i="6"/>
  <c r="AC248" i="6"/>
  <c r="AB248" i="6"/>
  <c r="Y248" i="6"/>
  <c r="X248" i="6"/>
  <c r="W248" i="6"/>
  <c r="V248" i="6"/>
  <c r="U248" i="6"/>
  <c r="T248" i="6"/>
  <c r="AG247" i="6"/>
  <c r="AF247" i="6"/>
  <c r="AE247" i="6"/>
  <c r="AD247" i="6"/>
  <c r="AC247" i="6"/>
  <c r="AB247" i="6"/>
  <c r="Y247" i="6"/>
  <c r="X247" i="6"/>
  <c r="W247" i="6"/>
  <c r="V247" i="6"/>
  <c r="U247" i="6"/>
  <c r="T247" i="6"/>
  <c r="AG246" i="6"/>
  <c r="AF246" i="6"/>
  <c r="AE246" i="6"/>
  <c r="AD246" i="6"/>
  <c r="AC246" i="6"/>
  <c r="AB246" i="6"/>
  <c r="Y246" i="6"/>
  <c r="X246" i="6"/>
  <c r="W246" i="6"/>
  <c r="V246" i="6"/>
  <c r="U246" i="6"/>
  <c r="T246" i="6"/>
  <c r="AG241" i="6"/>
  <c r="AF241" i="6"/>
  <c r="AE241" i="6"/>
  <c r="AD241" i="6"/>
  <c r="AC241" i="6"/>
  <c r="AB241" i="6"/>
  <c r="Y241" i="6"/>
  <c r="X241" i="6"/>
  <c r="W241" i="6"/>
  <c r="V241" i="6"/>
  <c r="U241" i="6"/>
  <c r="T241" i="6"/>
  <c r="AG240" i="6"/>
  <c r="AF240" i="6"/>
  <c r="AE240" i="6"/>
  <c r="AD240" i="6"/>
  <c r="AC240" i="6"/>
  <c r="AB240" i="6"/>
  <c r="Y240" i="6"/>
  <c r="X240" i="6"/>
  <c r="W240" i="6"/>
  <c r="V240" i="6"/>
  <c r="U240" i="6"/>
  <c r="T240" i="6"/>
  <c r="AG235" i="6"/>
  <c r="AF235" i="6"/>
  <c r="AE235" i="6"/>
  <c r="AD235" i="6"/>
  <c r="AC235" i="6"/>
  <c r="AB235" i="6"/>
  <c r="Y235" i="6"/>
  <c r="X235" i="6"/>
  <c r="W235" i="6"/>
  <c r="V235" i="6"/>
  <c r="U235" i="6"/>
  <c r="T235" i="6"/>
  <c r="AG234" i="6"/>
  <c r="AF234" i="6"/>
  <c r="AE234" i="6"/>
  <c r="AD234" i="6"/>
  <c r="AC234" i="6"/>
  <c r="AB234" i="6"/>
  <c r="Y234" i="6"/>
  <c r="X234" i="6"/>
  <c r="W234" i="6"/>
  <c r="V234" i="6"/>
  <c r="U234" i="6"/>
  <c r="T234" i="6"/>
  <c r="AG233" i="6"/>
  <c r="AF233" i="6"/>
  <c r="AE233" i="6"/>
  <c r="AD233" i="6"/>
  <c r="AC233" i="6"/>
  <c r="AB233" i="6"/>
  <c r="Y233" i="6"/>
  <c r="X233" i="6"/>
  <c r="W233" i="6"/>
  <c r="V233" i="6"/>
  <c r="U233" i="6"/>
  <c r="T233" i="6"/>
  <c r="AG232" i="6"/>
  <c r="AF232" i="6"/>
  <c r="AE232" i="6"/>
  <c r="AD232" i="6"/>
  <c r="AC232" i="6"/>
  <c r="AB232" i="6"/>
  <c r="Y232" i="6"/>
  <c r="X232" i="6"/>
  <c r="W232" i="6"/>
  <c r="V232" i="6"/>
  <c r="U232" i="6"/>
  <c r="T232" i="6"/>
  <c r="AG231" i="6"/>
  <c r="AF231" i="6"/>
  <c r="AE231" i="6"/>
  <c r="AD231" i="6"/>
  <c r="AC231" i="6"/>
  <c r="AB231" i="6"/>
  <c r="Y231" i="6"/>
  <c r="X231" i="6"/>
  <c r="W231" i="6"/>
  <c r="V231" i="6"/>
  <c r="U231" i="6"/>
  <c r="T231" i="6"/>
  <c r="AG230" i="6"/>
  <c r="AF230" i="6"/>
  <c r="AE230" i="6"/>
  <c r="AD230" i="6"/>
  <c r="AC230" i="6"/>
  <c r="AB230" i="6"/>
  <c r="Y230" i="6"/>
  <c r="X230" i="6"/>
  <c r="W230" i="6"/>
  <c r="V230" i="6"/>
  <c r="U230" i="6"/>
  <c r="T230" i="6"/>
  <c r="AG229" i="6"/>
  <c r="AF229" i="6"/>
  <c r="AE229" i="6"/>
  <c r="AD229" i="6"/>
  <c r="AC229" i="6"/>
  <c r="AB229" i="6"/>
  <c r="Y229" i="6"/>
  <c r="X229" i="6"/>
  <c r="W229" i="6"/>
  <c r="V229" i="6"/>
  <c r="U229" i="6"/>
  <c r="T229" i="6"/>
  <c r="AG228" i="6"/>
  <c r="AF228" i="6"/>
  <c r="AE228" i="6"/>
  <c r="AD228" i="6"/>
  <c r="AC228" i="6"/>
  <c r="AB228" i="6"/>
  <c r="Y228" i="6"/>
  <c r="X228" i="6"/>
  <c r="W228" i="6"/>
  <c r="V228" i="6"/>
  <c r="U228" i="6"/>
  <c r="T228" i="6"/>
  <c r="AG227" i="6"/>
  <c r="AF227" i="6"/>
  <c r="AE227" i="6"/>
  <c r="AD227" i="6"/>
  <c r="AC227" i="6"/>
  <c r="AB227" i="6"/>
  <c r="Y227" i="6"/>
  <c r="X227" i="6"/>
  <c r="W227" i="6"/>
  <c r="V227" i="6"/>
  <c r="U227" i="6"/>
  <c r="T227" i="6"/>
  <c r="AG226" i="6"/>
  <c r="AF226" i="6"/>
  <c r="AE226" i="6"/>
  <c r="AD226" i="6"/>
  <c r="AC226" i="6"/>
  <c r="AB226" i="6"/>
  <c r="Y226" i="6"/>
  <c r="X226" i="6"/>
  <c r="W226" i="6"/>
  <c r="V226" i="6"/>
  <c r="U226" i="6"/>
  <c r="T226" i="6"/>
  <c r="AG225" i="6"/>
  <c r="AF225" i="6"/>
  <c r="AE225" i="6"/>
  <c r="AD225" i="6"/>
  <c r="AC225" i="6"/>
  <c r="AB225" i="6"/>
  <c r="Y225" i="6"/>
  <c r="X225" i="6"/>
  <c r="W225" i="6"/>
  <c r="V225" i="6"/>
  <c r="U225" i="6"/>
  <c r="T225" i="6"/>
  <c r="AG224" i="6"/>
  <c r="AF224" i="6"/>
  <c r="AE224" i="6"/>
  <c r="AD224" i="6"/>
  <c r="AC224" i="6"/>
  <c r="AB224" i="6"/>
  <c r="Y224" i="6"/>
  <c r="X224" i="6"/>
  <c r="W224" i="6"/>
  <c r="V224" i="6"/>
  <c r="U224" i="6"/>
  <c r="T224" i="6"/>
  <c r="AG223" i="6"/>
  <c r="AF223" i="6"/>
  <c r="AE223" i="6"/>
  <c r="AD223" i="6"/>
  <c r="AC223" i="6"/>
  <c r="AB223" i="6"/>
  <c r="Y223" i="6"/>
  <c r="X223" i="6"/>
  <c r="W223" i="6"/>
  <c r="V223" i="6"/>
  <c r="U223" i="6"/>
  <c r="T223" i="6"/>
  <c r="AG222" i="6"/>
  <c r="AF222" i="6"/>
  <c r="AE222" i="6"/>
  <c r="AD222" i="6"/>
  <c r="AC222" i="6"/>
  <c r="AB222" i="6"/>
  <c r="Y222" i="6"/>
  <c r="X222" i="6"/>
  <c r="W222" i="6"/>
  <c r="V222" i="6"/>
  <c r="U222" i="6"/>
  <c r="T222" i="6"/>
  <c r="AG221" i="6"/>
  <c r="AF221" i="6"/>
  <c r="AE221" i="6"/>
  <c r="AD221" i="6"/>
  <c r="AC221" i="6"/>
  <c r="AB221" i="6"/>
  <c r="Y221" i="6"/>
  <c r="X221" i="6"/>
  <c r="W221" i="6"/>
  <c r="V221" i="6"/>
  <c r="U221" i="6"/>
  <c r="T221" i="6"/>
  <c r="AG220" i="6"/>
  <c r="AF220" i="6"/>
  <c r="AE220" i="6"/>
  <c r="AD220" i="6"/>
  <c r="AB220" i="6"/>
  <c r="Y220" i="6"/>
  <c r="X220" i="6"/>
  <c r="W220" i="6"/>
  <c r="V220" i="6"/>
  <c r="U220" i="6"/>
  <c r="T220" i="6"/>
  <c r="AH219" i="6"/>
  <c r="AG212" i="6"/>
  <c r="AF212" i="6"/>
  <c r="AE212" i="6"/>
  <c r="AD212" i="6"/>
  <c r="AC212" i="6"/>
  <c r="AB212" i="6"/>
  <c r="Y212" i="6"/>
  <c r="X212" i="6"/>
  <c r="W212" i="6"/>
  <c r="V212" i="6"/>
  <c r="U212" i="6"/>
  <c r="T212" i="6"/>
  <c r="AG211" i="6"/>
  <c r="AF211" i="6"/>
  <c r="AE211" i="6"/>
  <c r="AD211" i="6"/>
  <c r="AC211" i="6"/>
  <c r="AB211" i="6"/>
  <c r="Y211" i="6"/>
  <c r="X211" i="6"/>
  <c r="W211" i="6"/>
  <c r="V211" i="6"/>
  <c r="U211" i="6"/>
  <c r="T211" i="6"/>
  <c r="AG210" i="6"/>
  <c r="AF210" i="6"/>
  <c r="AE210" i="6"/>
  <c r="AD210" i="6"/>
  <c r="AC210" i="6"/>
  <c r="AB210" i="6"/>
  <c r="Y210" i="6"/>
  <c r="X210" i="6"/>
  <c r="W210" i="6"/>
  <c r="V210" i="6"/>
  <c r="U210" i="6"/>
  <c r="T210" i="6"/>
  <c r="AG209" i="6"/>
  <c r="AF209" i="6"/>
  <c r="AE209" i="6"/>
  <c r="AD209" i="6"/>
  <c r="AC209" i="6"/>
  <c r="AB209" i="6"/>
  <c r="Y209" i="6"/>
  <c r="X209" i="6"/>
  <c r="W209" i="6"/>
  <c r="V209" i="6"/>
  <c r="U209" i="6"/>
  <c r="T209" i="6"/>
  <c r="AG208" i="6"/>
  <c r="AF208" i="6"/>
  <c r="AE208" i="6"/>
  <c r="AD208" i="6"/>
  <c r="AC208" i="6"/>
  <c r="AB208" i="6"/>
  <c r="Y208" i="6"/>
  <c r="X208" i="6"/>
  <c r="W208" i="6"/>
  <c r="V208" i="6"/>
  <c r="U208" i="6"/>
  <c r="T208" i="6"/>
  <c r="AG207" i="6"/>
  <c r="AF207" i="6"/>
  <c r="AE207" i="6"/>
  <c r="AD207" i="6"/>
  <c r="AC207" i="6"/>
  <c r="AB207" i="6"/>
  <c r="Y207" i="6"/>
  <c r="X207" i="6"/>
  <c r="W207" i="6"/>
  <c r="V207" i="6"/>
  <c r="U207" i="6"/>
  <c r="T207" i="6"/>
  <c r="AG202" i="6"/>
  <c r="AF202" i="6"/>
  <c r="AE202" i="6"/>
  <c r="AD202" i="6"/>
  <c r="AC202" i="6"/>
  <c r="AB202" i="6"/>
  <c r="Y202" i="6"/>
  <c r="X202" i="6"/>
  <c r="W202" i="6"/>
  <c r="V202" i="6"/>
  <c r="U202" i="6"/>
  <c r="T202" i="6"/>
  <c r="AG201" i="6"/>
  <c r="AF201" i="6"/>
  <c r="AE201" i="6"/>
  <c r="AD201" i="6"/>
  <c r="AC201" i="6"/>
  <c r="AB201" i="6"/>
  <c r="Y201" i="6"/>
  <c r="X201" i="6"/>
  <c r="W201" i="6"/>
  <c r="V201" i="6"/>
  <c r="U201" i="6"/>
  <c r="T201" i="6"/>
  <c r="AG200" i="6"/>
  <c r="AF200" i="6"/>
  <c r="AE200" i="6"/>
  <c r="AD200" i="6"/>
  <c r="AC200" i="6"/>
  <c r="AB200" i="6"/>
  <c r="Y200" i="6"/>
  <c r="X200" i="6"/>
  <c r="W200" i="6"/>
  <c r="V200" i="6"/>
  <c r="U200" i="6"/>
  <c r="T200" i="6"/>
  <c r="AG199" i="6"/>
  <c r="AF199" i="6"/>
  <c r="AE199" i="6"/>
  <c r="AD199" i="6"/>
  <c r="AC199" i="6"/>
  <c r="AB199" i="6"/>
  <c r="Y199" i="6"/>
  <c r="X199" i="6"/>
  <c r="W199" i="6"/>
  <c r="V199" i="6"/>
  <c r="U199" i="6"/>
  <c r="T199" i="6"/>
  <c r="AG194" i="6"/>
  <c r="AF194" i="6"/>
  <c r="AE194" i="6"/>
  <c r="AD194" i="6"/>
  <c r="AC194" i="6"/>
  <c r="AB194" i="6"/>
  <c r="Y194" i="6"/>
  <c r="X194" i="6"/>
  <c r="W194" i="6"/>
  <c r="V194" i="6"/>
  <c r="U194" i="6"/>
  <c r="T194" i="6"/>
  <c r="AG193" i="6"/>
  <c r="AF193" i="6"/>
  <c r="AE193" i="6"/>
  <c r="AD193" i="6"/>
  <c r="AC193" i="6"/>
  <c r="AB193" i="6"/>
  <c r="Y193" i="6"/>
  <c r="X193" i="6"/>
  <c r="W193" i="6"/>
  <c r="V193" i="6"/>
  <c r="U193" i="6"/>
  <c r="T193" i="6"/>
  <c r="AG192" i="6"/>
  <c r="AF192" i="6"/>
  <c r="AE192" i="6"/>
  <c r="AD192" i="6"/>
  <c r="AC192" i="6"/>
  <c r="AB192" i="6"/>
  <c r="Y192" i="6"/>
  <c r="X192" i="6"/>
  <c r="W192" i="6"/>
  <c r="V192" i="6"/>
  <c r="U192" i="6"/>
  <c r="T192" i="6"/>
  <c r="R192" i="6" s="1"/>
  <c r="AG191" i="6"/>
  <c r="AF191" i="6"/>
  <c r="AE191" i="6"/>
  <c r="AD191" i="6"/>
  <c r="AC191" i="6"/>
  <c r="AB191" i="6"/>
  <c r="Y191" i="6"/>
  <c r="X191" i="6"/>
  <c r="W191" i="6"/>
  <c r="V191" i="6"/>
  <c r="U191" i="6"/>
  <c r="T191" i="6"/>
  <c r="AG190" i="6"/>
  <c r="AF190" i="6"/>
  <c r="AE190" i="6"/>
  <c r="AD190" i="6"/>
  <c r="AC190" i="6"/>
  <c r="AB190" i="6"/>
  <c r="Y190" i="6"/>
  <c r="X190" i="6"/>
  <c r="W190" i="6"/>
  <c r="V190" i="6"/>
  <c r="U190" i="6"/>
  <c r="T190" i="6"/>
  <c r="R190" i="6" s="1"/>
  <c r="AG189" i="6"/>
  <c r="AF189" i="6"/>
  <c r="AE189" i="6"/>
  <c r="AD189" i="6"/>
  <c r="AC189" i="6"/>
  <c r="AB189" i="6"/>
  <c r="Y189" i="6"/>
  <c r="X189" i="6"/>
  <c r="W189" i="6"/>
  <c r="V189" i="6"/>
  <c r="U189" i="6"/>
  <c r="T189" i="6"/>
  <c r="AG178" i="6"/>
  <c r="AF178" i="6"/>
  <c r="AE178" i="6"/>
  <c r="AD178" i="6"/>
  <c r="AC178" i="6"/>
  <c r="AB178" i="6"/>
  <c r="Y178" i="6"/>
  <c r="X178" i="6"/>
  <c r="W178" i="6"/>
  <c r="V178" i="6"/>
  <c r="U178" i="6"/>
  <c r="T178" i="6"/>
  <c r="AG177" i="6"/>
  <c r="AF177" i="6"/>
  <c r="AE177" i="6"/>
  <c r="AD177" i="6"/>
  <c r="AC177" i="6"/>
  <c r="AB177" i="6"/>
  <c r="Y177" i="6"/>
  <c r="X177" i="6"/>
  <c r="W177" i="6"/>
  <c r="V177" i="6"/>
  <c r="U177" i="6"/>
  <c r="T177" i="6"/>
  <c r="AG176" i="6"/>
  <c r="AF176" i="6"/>
  <c r="AE176" i="6"/>
  <c r="AD176" i="6"/>
  <c r="AC176" i="6"/>
  <c r="AB176" i="6"/>
  <c r="Y176" i="6"/>
  <c r="X176" i="6"/>
  <c r="W176" i="6"/>
  <c r="V176" i="6"/>
  <c r="U176" i="6"/>
  <c r="T176" i="6"/>
  <c r="AG175" i="6"/>
  <c r="AF175" i="6"/>
  <c r="AE175" i="6"/>
  <c r="AD175" i="6"/>
  <c r="AC175" i="6"/>
  <c r="AB175" i="6"/>
  <c r="Y175" i="6"/>
  <c r="X175" i="6"/>
  <c r="W175" i="6"/>
  <c r="V175" i="6"/>
  <c r="U175" i="6"/>
  <c r="T175" i="6"/>
  <c r="AG174" i="6"/>
  <c r="AF174" i="6"/>
  <c r="AE174" i="6"/>
  <c r="AD174" i="6"/>
  <c r="AC174" i="6"/>
  <c r="AB174" i="6"/>
  <c r="Y174" i="6"/>
  <c r="X174" i="6"/>
  <c r="W174" i="6"/>
  <c r="V174" i="6"/>
  <c r="U174" i="6"/>
  <c r="T174" i="6"/>
  <c r="AG173" i="6"/>
  <c r="AF173" i="6"/>
  <c r="AE173" i="6"/>
  <c r="AD173" i="6"/>
  <c r="AC173" i="6"/>
  <c r="AB173" i="6"/>
  <c r="Y173" i="6"/>
  <c r="X173" i="6"/>
  <c r="W173" i="6"/>
  <c r="V173" i="6"/>
  <c r="U173" i="6"/>
  <c r="R173" i="6" s="1"/>
  <c r="T173" i="6"/>
  <c r="AG172" i="6"/>
  <c r="AF172" i="6"/>
  <c r="AE172" i="6"/>
  <c r="AD172" i="6"/>
  <c r="AC172" i="6"/>
  <c r="AB172" i="6"/>
  <c r="Y172" i="6"/>
  <c r="X172" i="6"/>
  <c r="W172" i="6"/>
  <c r="V172" i="6"/>
  <c r="U172" i="6"/>
  <c r="T172" i="6"/>
  <c r="AG171" i="6"/>
  <c r="AF171" i="6"/>
  <c r="AE171" i="6"/>
  <c r="AD171" i="6"/>
  <c r="AC171" i="6"/>
  <c r="AB171" i="6"/>
  <c r="Y171" i="6"/>
  <c r="X171" i="6"/>
  <c r="W171" i="6"/>
  <c r="V171" i="6"/>
  <c r="U171" i="6"/>
  <c r="T171" i="6"/>
  <c r="R171" i="6" s="1"/>
  <c r="AG157" i="6"/>
  <c r="AF157" i="6"/>
  <c r="AE157" i="6"/>
  <c r="AD157" i="6"/>
  <c r="AC157" i="6"/>
  <c r="AB157" i="6"/>
  <c r="Y157" i="6"/>
  <c r="X157" i="6"/>
  <c r="W157" i="6"/>
  <c r="V157" i="6"/>
  <c r="U157" i="6"/>
  <c r="T157" i="6"/>
  <c r="AG156" i="6"/>
  <c r="AF156" i="6"/>
  <c r="AE156" i="6"/>
  <c r="AD156" i="6"/>
  <c r="AC156" i="6"/>
  <c r="AB156" i="6"/>
  <c r="Y156" i="6"/>
  <c r="X156" i="6"/>
  <c r="W156" i="6"/>
  <c r="V156" i="6"/>
  <c r="U156" i="6"/>
  <c r="T156" i="6"/>
  <c r="AG142" i="6"/>
  <c r="AF142" i="6"/>
  <c r="AE142" i="6"/>
  <c r="AD142" i="6"/>
  <c r="AC142" i="6"/>
  <c r="AB142" i="6"/>
  <c r="Y142" i="6"/>
  <c r="X142" i="6"/>
  <c r="W142" i="6"/>
  <c r="V142" i="6"/>
  <c r="U142" i="6"/>
  <c r="T142" i="6"/>
  <c r="AG139" i="6"/>
  <c r="AF139" i="6"/>
  <c r="AE139" i="6"/>
  <c r="AD139" i="6"/>
  <c r="AC139" i="6"/>
  <c r="AB139" i="6"/>
  <c r="Y139" i="6"/>
  <c r="X139" i="6"/>
  <c r="W139" i="6"/>
  <c r="V139" i="6"/>
  <c r="U139" i="6"/>
  <c r="T139" i="6"/>
  <c r="AG92" i="6"/>
  <c r="AF92" i="6"/>
  <c r="AE92" i="6"/>
  <c r="AD92" i="6"/>
  <c r="AC92" i="6"/>
  <c r="AB92" i="6"/>
  <c r="Y92" i="6"/>
  <c r="X92" i="6"/>
  <c r="W92" i="6"/>
  <c r="V92" i="6"/>
  <c r="U92" i="6"/>
  <c r="T92" i="6"/>
  <c r="AG86" i="6"/>
  <c r="AF86" i="6"/>
  <c r="AE86" i="6"/>
  <c r="AD86" i="6"/>
  <c r="AC86" i="6"/>
  <c r="AB86" i="6"/>
  <c r="Y86" i="6"/>
  <c r="X86" i="6"/>
  <c r="W86" i="6"/>
  <c r="V86" i="6"/>
  <c r="U86" i="6"/>
  <c r="T86" i="6"/>
  <c r="AG79" i="6"/>
  <c r="AE79" i="6"/>
  <c r="AC79" i="6"/>
  <c r="P77" i="6"/>
  <c r="P79" i="6" s="1"/>
  <c r="P146" i="6" s="1"/>
  <c r="R35" i="6"/>
  <c r="Q6" i="10" l="1"/>
  <c r="S8" i="11"/>
  <c r="N97" i="9"/>
  <c r="N98" i="9" s="1"/>
  <c r="T24" i="9"/>
  <c r="S15" i="11"/>
  <c r="U7" i="12"/>
  <c r="U10" i="10"/>
  <c r="D97" i="9"/>
  <c r="V4" i="10"/>
  <c r="V10" i="11"/>
  <c r="V36" i="12"/>
  <c r="L26" i="9"/>
  <c r="Q16" i="10"/>
  <c r="V7" i="11"/>
  <c r="U9" i="12"/>
  <c r="U13" i="12"/>
  <c r="U7" i="13"/>
  <c r="U11" i="13"/>
  <c r="R199" i="6"/>
  <c r="R208" i="6"/>
  <c r="R210" i="6"/>
  <c r="R251" i="6"/>
  <c r="R230" i="6"/>
  <c r="R9" i="11"/>
  <c r="R10" i="11"/>
  <c r="S6" i="11"/>
  <c r="S11" i="10"/>
  <c r="U6" i="10"/>
  <c r="T13" i="11"/>
  <c r="W35" i="12"/>
  <c r="W10" i="13"/>
  <c r="J26" i="9"/>
  <c r="R26" i="9"/>
  <c r="R67" i="9" s="1"/>
  <c r="R68" i="9" s="1"/>
  <c r="Q26" i="9"/>
  <c r="Q94" i="9" s="1"/>
  <c r="Q95" i="9" s="1"/>
  <c r="T11" i="10"/>
  <c r="Q5" i="11"/>
  <c r="T18" i="13"/>
  <c r="N10" i="9"/>
  <c r="G26" i="9"/>
  <c r="K26" i="9"/>
  <c r="K85" i="9" s="1"/>
  <c r="K86" i="9" s="1"/>
  <c r="O26" i="9"/>
  <c r="S26" i="9"/>
  <c r="T17" i="9"/>
  <c r="T18" i="9"/>
  <c r="T21" i="9"/>
  <c r="T22" i="9"/>
  <c r="H79" i="9"/>
  <c r="H80" i="9" s="1"/>
  <c r="S5" i="10"/>
  <c r="T7" i="10"/>
  <c r="T10" i="10"/>
  <c r="V12" i="10"/>
  <c r="U16" i="10"/>
  <c r="R5" i="11"/>
  <c r="R6" i="11"/>
  <c r="T9" i="11"/>
  <c r="V9" i="11"/>
  <c r="V11" i="11"/>
  <c r="R13" i="11"/>
  <c r="R16" i="11"/>
  <c r="AB3" i="12"/>
  <c r="U11" i="12"/>
  <c r="V14" i="12"/>
  <c r="W24" i="12"/>
  <c r="W28" i="12"/>
  <c r="W32" i="12"/>
  <c r="AC3" i="13"/>
  <c r="AC10" i="13" s="1"/>
  <c r="U8" i="13"/>
  <c r="T15" i="13"/>
  <c r="T19" i="13"/>
  <c r="U29" i="13"/>
  <c r="S8" i="10"/>
  <c r="S13" i="10"/>
  <c r="T5" i="11"/>
  <c r="N26" i="9"/>
  <c r="N76" i="9" s="1"/>
  <c r="N77" i="9" s="1"/>
  <c r="I26" i="9"/>
  <c r="M26" i="9"/>
  <c r="M94" i="9" s="1"/>
  <c r="M95" i="9" s="1"/>
  <c r="S4" i="10"/>
  <c r="S9" i="10"/>
  <c r="T6" i="11"/>
  <c r="U9" i="11"/>
  <c r="Q13" i="11"/>
  <c r="T19" i="12"/>
  <c r="T6" i="10"/>
  <c r="V8" i="10"/>
  <c r="Q10" i="10"/>
  <c r="S12" i="10"/>
  <c r="S4" i="11"/>
  <c r="U5" i="11"/>
  <c r="V6" i="11"/>
  <c r="Q9" i="11"/>
  <c r="T10" i="11"/>
  <c r="S12" i="11"/>
  <c r="U13" i="11"/>
  <c r="V16" i="11"/>
  <c r="U15" i="12"/>
  <c r="U18" i="12"/>
  <c r="V25" i="12"/>
  <c r="V29" i="12"/>
  <c r="V33" i="12"/>
  <c r="T9" i="13"/>
  <c r="U12" i="13"/>
  <c r="T16" i="13"/>
  <c r="U30" i="13"/>
  <c r="R176" i="6"/>
  <c r="R86" i="6"/>
  <c r="R202" i="6"/>
  <c r="G54" i="13"/>
  <c r="K54" i="13"/>
  <c r="L54" i="13"/>
  <c r="D54" i="13"/>
  <c r="O40" i="13"/>
  <c r="L37" i="13"/>
  <c r="E37" i="13"/>
  <c r="I37" i="13"/>
  <c r="M37" i="13"/>
  <c r="J37" i="13"/>
  <c r="V36" i="13"/>
  <c r="W36" i="13"/>
  <c r="W29" i="13"/>
  <c r="S30" i="13"/>
  <c r="O23" i="13"/>
  <c r="V23" i="13" s="1"/>
  <c r="O51" i="12"/>
  <c r="C54" i="12"/>
  <c r="R19" i="13"/>
  <c r="D20" i="13"/>
  <c r="H20" i="13"/>
  <c r="E20" i="13"/>
  <c r="W7" i="13"/>
  <c r="T11" i="13"/>
  <c r="U15" i="13"/>
  <c r="T10" i="13"/>
  <c r="W11" i="13"/>
  <c r="S7" i="13"/>
  <c r="T7" i="13"/>
  <c r="S11" i="13"/>
  <c r="N20" i="12"/>
  <c r="T13" i="12"/>
  <c r="R13" i="12"/>
  <c r="W10" i="12"/>
  <c r="R15" i="12"/>
  <c r="R18" i="12"/>
  <c r="R7" i="12"/>
  <c r="V7" i="12"/>
  <c r="V18" i="12"/>
  <c r="T9" i="12"/>
  <c r="S14" i="12"/>
  <c r="V15" i="12"/>
  <c r="R11" i="12"/>
  <c r="W14" i="12"/>
  <c r="S10" i="12"/>
  <c r="V11" i="12"/>
  <c r="R139" i="6"/>
  <c r="R247" i="6"/>
  <c r="R226" i="6"/>
  <c r="R92" i="6"/>
  <c r="R249" i="6"/>
  <c r="R241" i="6"/>
  <c r="R240" i="6"/>
  <c r="R222" i="6"/>
  <c r="R224" i="6"/>
  <c r="R228" i="6"/>
  <c r="R223" i="6"/>
  <c r="R220" i="6"/>
  <c r="R232" i="6"/>
  <c r="R200" i="6"/>
  <c r="R201" i="6"/>
  <c r="R175" i="6"/>
  <c r="R177" i="6"/>
  <c r="AH230" i="6"/>
  <c r="AH231" i="6"/>
  <c r="AH174" i="6"/>
  <c r="AH250" i="6"/>
  <c r="AH192" i="6"/>
  <c r="AH193" i="6"/>
  <c r="AH194" i="6"/>
  <c r="AH173" i="6"/>
  <c r="AH249" i="6"/>
  <c r="AH210" i="6"/>
  <c r="AH211" i="6"/>
  <c r="R142" i="6"/>
  <c r="AH175" i="6"/>
  <c r="AH176" i="6"/>
  <c r="R189" i="6"/>
  <c r="AH199" i="6"/>
  <c r="AH200" i="6"/>
  <c r="R207" i="6"/>
  <c r="AH222" i="6"/>
  <c r="AH223" i="6"/>
  <c r="R225" i="6"/>
  <c r="AH232" i="6"/>
  <c r="AH240" i="6"/>
  <c r="R246" i="6"/>
  <c r="AH251" i="6"/>
  <c r="AH256" i="6"/>
  <c r="AE272" i="6"/>
  <c r="AH86" i="6"/>
  <c r="AH92" i="6"/>
  <c r="AH139" i="6"/>
  <c r="AH142" i="6"/>
  <c r="R172" i="6"/>
  <c r="AH177" i="6"/>
  <c r="AH189" i="6"/>
  <c r="R191" i="6"/>
  <c r="AH207" i="6"/>
  <c r="R209" i="6"/>
  <c r="AH212" i="6"/>
  <c r="AH220" i="6"/>
  <c r="R221" i="6"/>
  <c r="AH224" i="6"/>
  <c r="AH225" i="6"/>
  <c r="R227" i="6"/>
  <c r="R229" i="6"/>
  <c r="AC272" i="6"/>
  <c r="AG272" i="6"/>
  <c r="AH241" i="6"/>
  <c r="AH246" i="6"/>
  <c r="R248" i="6"/>
  <c r="AH171" i="6"/>
  <c r="AH172" i="6"/>
  <c r="R174" i="6"/>
  <c r="AH190" i="6"/>
  <c r="AH191" i="6"/>
  <c r="AH208" i="6"/>
  <c r="AH209" i="6"/>
  <c r="R211" i="6"/>
  <c r="AH226" i="6"/>
  <c r="AH227" i="6"/>
  <c r="AH228" i="6"/>
  <c r="AH229" i="6"/>
  <c r="R231" i="6"/>
  <c r="AH247" i="6"/>
  <c r="AH248" i="6"/>
  <c r="R250" i="6"/>
  <c r="Q77" i="6"/>
  <c r="D11" i="16"/>
  <c r="E11" i="16"/>
  <c r="G11" i="16"/>
  <c r="H13" i="16"/>
  <c r="H15" i="16" s="1"/>
  <c r="H11" i="16"/>
  <c r="B11" i="16"/>
  <c r="F11" i="16"/>
  <c r="E24" i="16"/>
  <c r="D11" i="15"/>
  <c r="H11" i="15"/>
  <c r="H13" i="15"/>
  <c r="H15" i="15" s="1"/>
  <c r="B11" i="15"/>
  <c r="F11" i="15"/>
  <c r="C11" i="15"/>
  <c r="G11" i="15"/>
  <c r="E11" i="15"/>
  <c r="E24" i="15"/>
  <c r="B24" i="15"/>
  <c r="F24" i="15"/>
  <c r="H13" i="14"/>
  <c r="H15" i="14" s="1"/>
  <c r="H11" i="14"/>
  <c r="F11" i="14"/>
  <c r="C11" i="14"/>
  <c r="D11" i="14"/>
  <c r="B11" i="14"/>
  <c r="G11" i="14"/>
  <c r="E11" i="14"/>
  <c r="E24" i="14"/>
  <c r="AB35" i="13"/>
  <c r="AB32" i="13"/>
  <c r="AB28" i="13"/>
  <c r="AB24" i="13"/>
  <c r="AB33" i="13"/>
  <c r="AB31" i="13"/>
  <c r="AB29" i="13"/>
  <c r="AB27" i="13"/>
  <c r="AB25" i="13"/>
  <c r="AB16" i="13"/>
  <c r="AB52" i="13"/>
  <c r="AB47" i="13"/>
  <c r="AB36" i="13"/>
  <c r="AB18" i="13"/>
  <c r="AB15" i="13"/>
  <c r="R8" i="13"/>
  <c r="V8" i="13"/>
  <c r="AB8" i="13"/>
  <c r="U9" i="13"/>
  <c r="R12" i="13"/>
  <c r="V12" i="13"/>
  <c r="AB12" i="13"/>
  <c r="T14" i="13"/>
  <c r="W14" i="13"/>
  <c r="S14" i="13"/>
  <c r="AB19" i="13"/>
  <c r="R25" i="13"/>
  <c r="W31" i="13"/>
  <c r="S31" i="13"/>
  <c r="U31" i="13"/>
  <c r="T31" i="13"/>
  <c r="AB41" i="13"/>
  <c r="S32" i="13"/>
  <c r="S33" i="13"/>
  <c r="S29" i="13"/>
  <c r="S25" i="13"/>
  <c r="O6" i="13"/>
  <c r="S8" i="13"/>
  <c r="W8" i="13"/>
  <c r="R9" i="13"/>
  <c r="V9" i="13"/>
  <c r="AB9" i="13"/>
  <c r="U10" i="13"/>
  <c r="W12" i="13"/>
  <c r="R13" i="13"/>
  <c r="R14" i="13"/>
  <c r="AB14" i="13"/>
  <c r="F20" i="13"/>
  <c r="J20" i="13"/>
  <c r="AB26" i="13"/>
  <c r="W35" i="13"/>
  <c r="T33" i="13"/>
  <c r="T29" i="13"/>
  <c r="T25" i="13"/>
  <c r="T36" i="13"/>
  <c r="Z3" i="13"/>
  <c r="Z44" i="13" s="1"/>
  <c r="AD3" i="13"/>
  <c r="AD17" i="13" s="1"/>
  <c r="AB6" i="13"/>
  <c r="T8" i="13"/>
  <c r="S9" i="13"/>
  <c r="W9" i="13"/>
  <c r="R10" i="13"/>
  <c r="V10" i="13"/>
  <c r="AB10" i="13"/>
  <c r="T12" i="13"/>
  <c r="S13" i="13"/>
  <c r="AB13" i="13"/>
  <c r="U14" i="13"/>
  <c r="V16" i="13"/>
  <c r="C20" i="13"/>
  <c r="G20" i="13"/>
  <c r="K20" i="13"/>
  <c r="O17" i="13"/>
  <c r="U19" i="13"/>
  <c r="N20" i="13"/>
  <c r="W25" i="13"/>
  <c r="S26" i="13"/>
  <c r="W27" i="13"/>
  <c r="S27" i="13"/>
  <c r="U27" i="13"/>
  <c r="T27" i="13"/>
  <c r="U28" i="13"/>
  <c r="R29" i="13"/>
  <c r="V31" i="13"/>
  <c r="W33" i="13"/>
  <c r="C37" i="13"/>
  <c r="S36" i="13"/>
  <c r="AC42" i="13"/>
  <c r="AD48" i="13"/>
  <c r="AB48" i="13"/>
  <c r="AB49" i="13"/>
  <c r="AD6" i="13"/>
  <c r="V13" i="13"/>
  <c r="V27" i="13"/>
  <c r="R33" i="13"/>
  <c r="AD40" i="13"/>
  <c r="AB40" i="13"/>
  <c r="AB45" i="13"/>
  <c r="S12" i="13"/>
  <c r="W13" i="13"/>
  <c r="W16" i="13"/>
  <c r="W18" i="13"/>
  <c r="S18" i="13"/>
  <c r="V18" i="13"/>
  <c r="R18" i="13"/>
  <c r="V25" i="13"/>
  <c r="R31" i="13"/>
  <c r="V33" i="13"/>
  <c r="R36" i="13"/>
  <c r="AA3" i="13"/>
  <c r="AA6" i="13" s="1"/>
  <c r="AE3" i="13"/>
  <c r="AE44" i="13" s="1"/>
  <c r="R7" i="13"/>
  <c r="V7" i="13"/>
  <c r="AB7" i="13"/>
  <c r="S10" i="13"/>
  <c r="R11" i="13"/>
  <c r="V11" i="13"/>
  <c r="AB11" i="13"/>
  <c r="U13" i="13"/>
  <c r="V14" i="13"/>
  <c r="W15" i="13"/>
  <c r="S15" i="13"/>
  <c r="V15" i="13"/>
  <c r="R15" i="13"/>
  <c r="S16" i="13"/>
  <c r="AC16" i="13"/>
  <c r="L20" i="13"/>
  <c r="AB17" i="13"/>
  <c r="U18" i="13"/>
  <c r="T24" i="13"/>
  <c r="U25" i="13"/>
  <c r="R27" i="13"/>
  <c r="V29" i="13"/>
  <c r="AB30" i="13"/>
  <c r="T32" i="13"/>
  <c r="U33" i="13"/>
  <c r="D37" i="13"/>
  <c r="H37" i="13"/>
  <c r="V35" i="13"/>
  <c r="R35" i="13"/>
  <c r="T35" i="13"/>
  <c r="O34" i="13"/>
  <c r="S35" i="13"/>
  <c r="AB43" i="13"/>
  <c r="AB44" i="13"/>
  <c r="AB46" i="13"/>
  <c r="AA46" i="13"/>
  <c r="J54" i="13"/>
  <c r="N54" i="13"/>
  <c r="AD53" i="13"/>
  <c r="O51" i="13"/>
  <c r="AB53" i="13"/>
  <c r="AA53" i="13"/>
  <c r="U16" i="13"/>
  <c r="W19" i="13"/>
  <c r="S19" i="13"/>
  <c r="V19" i="13"/>
  <c r="V24" i="13"/>
  <c r="R24" i="13"/>
  <c r="W24" i="13"/>
  <c r="T26" i="13"/>
  <c r="V26" i="13"/>
  <c r="V28" i="13"/>
  <c r="R28" i="13"/>
  <c r="W28" i="13"/>
  <c r="T30" i="13"/>
  <c r="V30" i="13"/>
  <c r="V32" i="13"/>
  <c r="R32" i="13"/>
  <c r="W32" i="13"/>
  <c r="AB34" i="13"/>
  <c r="N37" i="13"/>
  <c r="AA41" i="13"/>
  <c r="AD41" i="13"/>
  <c r="AA49" i="13"/>
  <c r="AD49" i="13"/>
  <c r="R16" i="13"/>
  <c r="AB23" i="13"/>
  <c r="S24" i="13"/>
  <c r="R26" i="13"/>
  <c r="W26" i="13"/>
  <c r="S28" i="13"/>
  <c r="R30" i="13"/>
  <c r="W30" i="13"/>
  <c r="U36" i="13"/>
  <c r="AB42" i="13"/>
  <c r="AD42" i="13"/>
  <c r="AD44" i="13"/>
  <c r="AB50" i="13"/>
  <c r="AD50" i="13"/>
  <c r="E54" i="13"/>
  <c r="I54" i="13"/>
  <c r="M54" i="13"/>
  <c r="T8" i="12"/>
  <c r="W8" i="12"/>
  <c r="S8" i="12"/>
  <c r="O6" i="12"/>
  <c r="V8" i="12"/>
  <c r="R8" i="12"/>
  <c r="T12" i="12"/>
  <c r="W12" i="12"/>
  <c r="S12" i="12"/>
  <c r="V12" i="12"/>
  <c r="R12" i="12"/>
  <c r="T16" i="12"/>
  <c r="W16" i="12"/>
  <c r="S16" i="12"/>
  <c r="V16" i="12"/>
  <c r="R16" i="12"/>
  <c r="AA49" i="12"/>
  <c r="AA45" i="12"/>
  <c r="AA41" i="12"/>
  <c r="AA36" i="12"/>
  <c r="AA33" i="12"/>
  <c r="AA29" i="12"/>
  <c r="AA25" i="12"/>
  <c r="AA51" i="12"/>
  <c r="AA35" i="12"/>
  <c r="AA32" i="12"/>
  <c r="AA28" i="12"/>
  <c r="AA24" i="12"/>
  <c r="AA31" i="12"/>
  <c r="AA27" i="12"/>
  <c r="AA19" i="12"/>
  <c r="AA44" i="12"/>
  <c r="AA18" i="12"/>
  <c r="AA15" i="12"/>
  <c r="AA11" i="12"/>
  <c r="AA7" i="12"/>
  <c r="AA30" i="12"/>
  <c r="AA26" i="12"/>
  <c r="AA53" i="12"/>
  <c r="AA14" i="12"/>
  <c r="AA10" i="12"/>
  <c r="AA6" i="12"/>
  <c r="AA48" i="12"/>
  <c r="AA13" i="12"/>
  <c r="AA9" i="12"/>
  <c r="U12" i="12"/>
  <c r="U16" i="12"/>
  <c r="AC31" i="12"/>
  <c r="AC27" i="12"/>
  <c r="AC19" i="12"/>
  <c r="AC30" i="12"/>
  <c r="AC26" i="12"/>
  <c r="AC36" i="12"/>
  <c r="AC33" i="12"/>
  <c r="AC29" i="12"/>
  <c r="AC25" i="12"/>
  <c r="AC13" i="12"/>
  <c r="AC9" i="12"/>
  <c r="AC16" i="12"/>
  <c r="AC12" i="12"/>
  <c r="AC8" i="12"/>
  <c r="AC46" i="12"/>
  <c r="AC17" i="12"/>
  <c r="AC51" i="12"/>
  <c r="AC35" i="12"/>
  <c r="AC32" i="12"/>
  <c r="AC28" i="12"/>
  <c r="AC24" i="12"/>
  <c r="AC18" i="12"/>
  <c r="AC15" i="12"/>
  <c r="AC11" i="12"/>
  <c r="AC7" i="12"/>
  <c r="AA8" i="12"/>
  <c r="AA12" i="12"/>
  <c r="AA16" i="12"/>
  <c r="U8" i="12"/>
  <c r="AE49" i="12"/>
  <c r="AE45" i="12"/>
  <c r="AE41" i="12"/>
  <c r="AE36" i="12"/>
  <c r="AE33" i="12"/>
  <c r="AE29" i="12"/>
  <c r="AE25" i="12"/>
  <c r="AE51" i="12"/>
  <c r="AE35" i="12"/>
  <c r="AE32" i="12"/>
  <c r="AE28" i="12"/>
  <c r="AE24" i="12"/>
  <c r="AE31" i="12"/>
  <c r="AE27" i="12"/>
  <c r="AE19" i="12"/>
  <c r="AE53" i="12"/>
  <c r="AE18" i="12"/>
  <c r="AE15" i="12"/>
  <c r="AE11" i="12"/>
  <c r="AE7" i="12"/>
  <c r="AE44" i="12"/>
  <c r="AE48" i="12"/>
  <c r="AE14" i="12"/>
  <c r="AE10" i="12"/>
  <c r="AE6" i="12"/>
  <c r="AE30" i="12"/>
  <c r="AE26" i="12"/>
  <c r="AE13" i="12"/>
  <c r="AE9" i="12"/>
  <c r="AC6" i="12"/>
  <c r="AE8" i="12"/>
  <c r="AC10" i="12"/>
  <c r="AE12" i="12"/>
  <c r="AC14" i="12"/>
  <c r="AE16" i="12"/>
  <c r="E20" i="12"/>
  <c r="AC37" i="12"/>
  <c r="AE37" i="12"/>
  <c r="AA37" i="12"/>
  <c r="S7" i="12"/>
  <c r="W7" i="12"/>
  <c r="T10" i="12"/>
  <c r="S11" i="12"/>
  <c r="W11" i="12"/>
  <c r="T14" i="12"/>
  <c r="S15" i="12"/>
  <c r="W15" i="12"/>
  <c r="S18" i="12"/>
  <c r="W18" i="12"/>
  <c r="R19" i="12"/>
  <c r="V19" i="12"/>
  <c r="AE42" i="12"/>
  <c r="AA42" i="12"/>
  <c r="O40" i="12"/>
  <c r="AC45" i="12"/>
  <c r="AC47" i="12"/>
  <c r="AB50" i="12"/>
  <c r="AE50" i="12"/>
  <c r="AA50" i="12"/>
  <c r="I20" i="12"/>
  <c r="AE20" i="12"/>
  <c r="AA20" i="12"/>
  <c r="AC20" i="12"/>
  <c r="V31" i="12"/>
  <c r="V27" i="12"/>
  <c r="AB26" i="12"/>
  <c r="S31" i="12"/>
  <c r="S27" i="12"/>
  <c r="W31" i="12"/>
  <c r="W27" i="12"/>
  <c r="T7" i="12"/>
  <c r="R9" i="12"/>
  <c r="V9" i="12"/>
  <c r="AB9" i="12"/>
  <c r="U10" i="12"/>
  <c r="T11" i="12"/>
  <c r="V13" i="12"/>
  <c r="AB13" i="12"/>
  <c r="U14" i="12"/>
  <c r="C20" i="12"/>
  <c r="G20" i="12"/>
  <c r="K20" i="12"/>
  <c r="O17" i="12"/>
  <c r="AA17" i="12"/>
  <c r="T18" i="12"/>
  <c r="S19" i="12"/>
  <c r="W19" i="12"/>
  <c r="V24" i="12"/>
  <c r="U25" i="12"/>
  <c r="T26" i="12"/>
  <c r="W26" i="12"/>
  <c r="S26" i="12"/>
  <c r="V26" i="12"/>
  <c r="R26" i="12"/>
  <c r="U27" i="12"/>
  <c r="V28" i="12"/>
  <c r="U29" i="12"/>
  <c r="T30" i="12"/>
  <c r="W30" i="12"/>
  <c r="S30" i="12"/>
  <c r="V30" i="12"/>
  <c r="R30" i="12"/>
  <c r="U31" i="12"/>
  <c r="V32" i="12"/>
  <c r="U33" i="12"/>
  <c r="AC34" i="12"/>
  <c r="AE34" i="12"/>
  <c r="AA34" i="12"/>
  <c r="V35" i="12"/>
  <c r="U36" i="12"/>
  <c r="AC42" i="12"/>
  <c r="AC50" i="12"/>
  <c r="AC52" i="12"/>
  <c r="M20" i="12"/>
  <c r="U19" i="12"/>
  <c r="R31" i="12"/>
  <c r="R27" i="12"/>
  <c r="T36" i="12"/>
  <c r="T33" i="12"/>
  <c r="T29" i="12"/>
  <c r="T25" i="12"/>
  <c r="Z3" i="12"/>
  <c r="Z51" i="12" s="1"/>
  <c r="AD3" i="12"/>
  <c r="AD37" i="12" s="1"/>
  <c r="S9" i="12"/>
  <c r="W9" i="12"/>
  <c r="R10" i="12"/>
  <c r="S13" i="12"/>
  <c r="W13" i="12"/>
  <c r="R14" i="12"/>
  <c r="AC23" i="12"/>
  <c r="AE23" i="12"/>
  <c r="AA23" i="12"/>
  <c r="S24" i="12"/>
  <c r="R25" i="12"/>
  <c r="U26" i="12"/>
  <c r="T27" i="12"/>
  <c r="S28" i="12"/>
  <c r="R29" i="12"/>
  <c r="U30" i="12"/>
  <c r="T31" i="12"/>
  <c r="S32" i="12"/>
  <c r="R33" i="12"/>
  <c r="S35" i="12"/>
  <c r="R36" i="12"/>
  <c r="AC41" i="12"/>
  <c r="AC43" i="12"/>
  <c r="AE46" i="12"/>
  <c r="AA46" i="12"/>
  <c r="AC49" i="12"/>
  <c r="O23" i="12"/>
  <c r="T24" i="12"/>
  <c r="S25" i="12"/>
  <c r="W25" i="12"/>
  <c r="T28" i="12"/>
  <c r="S29" i="12"/>
  <c r="W29" i="12"/>
  <c r="T32" i="12"/>
  <c r="S33" i="12"/>
  <c r="W33" i="12"/>
  <c r="O34" i="12"/>
  <c r="T35" i="12"/>
  <c r="S36" i="12"/>
  <c r="W36" i="12"/>
  <c r="AA43" i="12"/>
  <c r="AE43" i="12"/>
  <c r="AA47" i="12"/>
  <c r="AE47" i="12"/>
  <c r="AA52" i="12"/>
  <c r="AE52" i="12"/>
  <c r="U24" i="12"/>
  <c r="U28" i="12"/>
  <c r="U32" i="12"/>
  <c r="U35" i="12"/>
  <c r="AC44" i="12"/>
  <c r="AC48" i="12"/>
  <c r="AC53" i="12"/>
  <c r="R24" i="12"/>
  <c r="R28" i="12"/>
  <c r="R32" i="12"/>
  <c r="R35" i="12"/>
  <c r="T4" i="11"/>
  <c r="T15" i="11"/>
  <c r="Q8" i="11"/>
  <c r="U8" i="11"/>
  <c r="S10" i="11"/>
  <c r="T11" i="11"/>
  <c r="U12" i="11"/>
  <c r="T14" i="11"/>
  <c r="Q15" i="11"/>
  <c r="U15" i="11"/>
  <c r="S16" i="11"/>
  <c r="R4" i="11"/>
  <c r="V4" i="11"/>
  <c r="S5" i="11"/>
  <c r="Q7" i="11"/>
  <c r="U7" i="11"/>
  <c r="R8" i="11"/>
  <c r="V8" i="11"/>
  <c r="S9" i="11"/>
  <c r="Q11" i="11"/>
  <c r="U11" i="11"/>
  <c r="R12" i="11"/>
  <c r="V12" i="11"/>
  <c r="S13" i="11"/>
  <c r="Q14" i="11"/>
  <c r="U14" i="11"/>
  <c r="R15" i="11"/>
  <c r="V15" i="11"/>
  <c r="S7" i="11"/>
  <c r="T8" i="11"/>
  <c r="S11" i="11"/>
  <c r="T12" i="11"/>
  <c r="S14" i="11"/>
  <c r="Q4" i="11"/>
  <c r="U4" i="11"/>
  <c r="T7" i="11"/>
  <c r="Q12" i="11"/>
  <c r="N17" i="11"/>
  <c r="Q6" i="11"/>
  <c r="U6" i="11"/>
  <c r="R7" i="11"/>
  <c r="Q10" i="11"/>
  <c r="U10" i="11"/>
  <c r="R11" i="11"/>
  <c r="T5" i="10"/>
  <c r="V7" i="10"/>
  <c r="T9" i="10"/>
  <c r="V11" i="10"/>
  <c r="T13" i="10"/>
  <c r="Q5" i="10"/>
  <c r="R6" i="10"/>
  <c r="Q9" i="10"/>
  <c r="R10" i="10"/>
  <c r="Q13" i="10"/>
  <c r="U13" i="10"/>
  <c r="S14" i="10"/>
  <c r="N15" i="10"/>
  <c r="N17" i="10" s="1"/>
  <c r="V16" i="10"/>
  <c r="Q4" i="10"/>
  <c r="U4" i="10"/>
  <c r="R5" i="10"/>
  <c r="V5" i="10"/>
  <c r="S6" i="10"/>
  <c r="Q8" i="10"/>
  <c r="U8" i="10"/>
  <c r="R9" i="10"/>
  <c r="V9" i="10"/>
  <c r="S10" i="10"/>
  <c r="Q12" i="10"/>
  <c r="U12" i="10"/>
  <c r="R13" i="10"/>
  <c r="V13" i="10"/>
  <c r="T14" i="10"/>
  <c r="S16" i="10"/>
  <c r="R7" i="10"/>
  <c r="R11" i="10"/>
  <c r="R14" i="10"/>
  <c r="V14" i="10"/>
  <c r="T4" i="10"/>
  <c r="U5" i="10"/>
  <c r="V6" i="10"/>
  <c r="S7" i="10"/>
  <c r="T8" i="10"/>
  <c r="U9" i="10"/>
  <c r="T12" i="10"/>
  <c r="R4" i="10"/>
  <c r="Q7" i="10"/>
  <c r="U7" i="10"/>
  <c r="R8" i="10"/>
  <c r="Q11" i="10"/>
  <c r="U11" i="10"/>
  <c r="R12" i="10"/>
  <c r="G94" i="9"/>
  <c r="G95" i="9" s="1"/>
  <c r="G76" i="9"/>
  <c r="G77" i="9" s="1"/>
  <c r="G67" i="9"/>
  <c r="G68" i="9" s="1"/>
  <c r="G58" i="9"/>
  <c r="G59" i="9" s="1"/>
  <c r="G103" i="9"/>
  <c r="G104" i="9" s="1"/>
  <c r="G85" i="9"/>
  <c r="G86" i="9" s="1"/>
  <c r="H103" i="9"/>
  <c r="H104" i="9" s="1"/>
  <c r="H94" i="9"/>
  <c r="H95" i="9" s="1"/>
  <c r="H85" i="9"/>
  <c r="H86" i="9" s="1"/>
  <c r="H58" i="9"/>
  <c r="H59" i="9" s="1"/>
  <c r="H76" i="9"/>
  <c r="H77" i="9" s="1"/>
  <c r="H67" i="9"/>
  <c r="H68" i="9" s="1"/>
  <c r="L103" i="9"/>
  <c r="L104" i="9" s="1"/>
  <c r="L94" i="9"/>
  <c r="L95" i="9" s="1"/>
  <c r="L85" i="9"/>
  <c r="L86" i="9" s="1"/>
  <c r="L76" i="9"/>
  <c r="L77" i="9" s="1"/>
  <c r="L58" i="9"/>
  <c r="L59" i="9" s="1"/>
  <c r="L67" i="9"/>
  <c r="L68" i="9" s="1"/>
  <c r="P103" i="9"/>
  <c r="P104" i="9" s="1"/>
  <c r="P94" i="9"/>
  <c r="P95" i="9" s="1"/>
  <c r="P85" i="9"/>
  <c r="P86" i="9" s="1"/>
  <c r="P76" i="9"/>
  <c r="P77" i="9" s="1"/>
  <c r="P58" i="9"/>
  <c r="P59" i="9" s="1"/>
  <c r="P67" i="9"/>
  <c r="P68" i="9" s="1"/>
  <c r="J30" i="9"/>
  <c r="R30" i="9"/>
  <c r="K103" i="9"/>
  <c r="K104" i="9" s="1"/>
  <c r="K58" i="9"/>
  <c r="K59" i="9" s="1"/>
  <c r="K76" i="9"/>
  <c r="K77" i="9" s="1"/>
  <c r="S103" i="9"/>
  <c r="S104" i="9" s="1"/>
  <c r="S85" i="9"/>
  <c r="S86" i="9" s="1"/>
  <c r="S67" i="9"/>
  <c r="S68" i="9" s="1"/>
  <c r="S58" i="9"/>
  <c r="S59" i="9" s="1"/>
  <c r="S94" i="9"/>
  <c r="S95" i="9" s="1"/>
  <c r="S76" i="9"/>
  <c r="S77" i="9" s="1"/>
  <c r="J103" i="9"/>
  <c r="J104" i="9" s="1"/>
  <c r="J85" i="9"/>
  <c r="J86" i="9" s="1"/>
  <c r="J67" i="9"/>
  <c r="J68" i="9" s="1"/>
  <c r="J58" i="9"/>
  <c r="J59" i="9" s="1"/>
  <c r="J94" i="9"/>
  <c r="J95" i="9" s="1"/>
  <c r="J76" i="9"/>
  <c r="J77" i="9" s="1"/>
  <c r="N67" i="9"/>
  <c r="N68" i="9" s="1"/>
  <c r="N58" i="9"/>
  <c r="N59" i="9" s="1"/>
  <c r="N103" i="9"/>
  <c r="N104" i="9" s="1"/>
  <c r="R85" i="9"/>
  <c r="R86" i="9" s="1"/>
  <c r="I94" i="9"/>
  <c r="I95" i="9" s="1"/>
  <c r="I85" i="9"/>
  <c r="I86" i="9" s="1"/>
  <c r="I30" i="9"/>
  <c r="I58" i="9"/>
  <c r="I59" i="9" s="1"/>
  <c r="M103" i="9"/>
  <c r="M104" i="9" s="1"/>
  <c r="M58" i="9"/>
  <c r="M59" i="9" s="1"/>
  <c r="Q103" i="9"/>
  <c r="Q104" i="9" s="1"/>
  <c r="Q76" i="9"/>
  <c r="Q77" i="9" s="1"/>
  <c r="Q67" i="9"/>
  <c r="Q68" i="9" s="1"/>
  <c r="G30" i="9"/>
  <c r="K30" i="9"/>
  <c r="G88" i="9"/>
  <c r="G89" i="9" s="1"/>
  <c r="O88" i="9"/>
  <c r="O89" i="9" s="1"/>
  <c r="O79" i="9"/>
  <c r="O80" i="9" s="1"/>
  <c r="S97" i="9"/>
  <c r="S98" i="9" s="1"/>
  <c r="T15" i="9"/>
  <c r="K88" i="9"/>
  <c r="K89" i="9" s="1"/>
  <c r="H97" i="9"/>
  <c r="H98" i="9" s="1"/>
  <c r="H88" i="9"/>
  <c r="H89" i="9" s="1"/>
  <c r="L97" i="9"/>
  <c r="L98" i="9" s="1"/>
  <c r="L88" i="9"/>
  <c r="L89" i="9" s="1"/>
  <c r="T8" i="9"/>
  <c r="T10" i="9" s="1"/>
  <c r="L79" i="9"/>
  <c r="L80" i="9" s="1"/>
  <c r="G97" i="9"/>
  <c r="G98" i="9" s="1"/>
  <c r="I97" i="9"/>
  <c r="I98" i="9" s="1"/>
  <c r="I88" i="9"/>
  <c r="I89" i="9" s="1"/>
  <c r="I79" i="9"/>
  <c r="I80" i="9" s="1"/>
  <c r="M97" i="9"/>
  <c r="M98" i="9" s="1"/>
  <c r="M88" i="9"/>
  <c r="M89" i="9" s="1"/>
  <c r="M79" i="9"/>
  <c r="M80" i="9" s="1"/>
  <c r="Q97" i="9"/>
  <c r="Q98" i="9" s="1"/>
  <c r="Q88" i="9"/>
  <c r="Q89" i="9" s="1"/>
  <c r="Q79" i="9"/>
  <c r="Q80" i="9" s="1"/>
  <c r="G10" i="9"/>
  <c r="O10" i="9"/>
  <c r="S10" i="9"/>
  <c r="S30" i="9" s="1"/>
  <c r="T14" i="9"/>
  <c r="T29" i="9"/>
  <c r="N79" i="9"/>
  <c r="N80" i="9" s="1"/>
  <c r="S88" i="9"/>
  <c r="S89" i="9" s="1"/>
  <c r="D115" i="9"/>
  <c r="D106" i="9"/>
  <c r="K97" i="9"/>
  <c r="K98" i="9" s="1"/>
  <c r="K79" i="9"/>
  <c r="K80" i="9" s="1"/>
  <c r="S79" i="9"/>
  <c r="S80" i="9" s="1"/>
  <c r="P106" i="9"/>
  <c r="P107" i="9" s="1"/>
  <c r="P97" i="9"/>
  <c r="P98" i="9" s="1"/>
  <c r="P88" i="9"/>
  <c r="P89" i="9" s="1"/>
  <c r="P79" i="9"/>
  <c r="P80" i="9" s="1"/>
  <c r="J97" i="9"/>
  <c r="J98" i="9" s="1"/>
  <c r="J79" i="9"/>
  <c r="J80" i="9" s="1"/>
  <c r="N106" i="9"/>
  <c r="N107" i="9" s="1"/>
  <c r="N88" i="9"/>
  <c r="N89" i="9" s="1"/>
  <c r="R97" i="9"/>
  <c r="R98" i="9" s="1"/>
  <c r="H10" i="9"/>
  <c r="H30" i="9" s="1"/>
  <c r="L10" i="9"/>
  <c r="L30" i="9" s="1"/>
  <c r="P10" i="9"/>
  <c r="P30" i="9" s="1"/>
  <c r="G79" i="9"/>
  <c r="G80" i="9" s="1"/>
  <c r="R79" i="9"/>
  <c r="R80" i="9" s="1"/>
  <c r="J88" i="9"/>
  <c r="J89" i="9" s="1"/>
  <c r="O97" i="9"/>
  <c r="O98" i="9" s="1"/>
  <c r="D61" i="9"/>
  <c r="G61" i="9" s="1"/>
  <c r="G62" i="9" s="1"/>
  <c r="D70" i="9"/>
  <c r="D82" i="9"/>
  <c r="G103" i="8"/>
  <c r="G104" i="8" s="1"/>
  <c r="G94" i="8"/>
  <c r="G95" i="8" s="1"/>
  <c r="G85" i="8"/>
  <c r="G86" i="8" s="1"/>
  <c r="G76" i="8"/>
  <c r="G77" i="8" s="1"/>
  <c r="G67" i="8"/>
  <c r="G68" i="8" s="1"/>
  <c r="G58" i="8"/>
  <c r="G59" i="8" s="1"/>
  <c r="K103" i="8"/>
  <c r="K104" i="8" s="1"/>
  <c r="K94" i="8"/>
  <c r="K95" i="8" s="1"/>
  <c r="K85" i="8"/>
  <c r="K86" i="8" s="1"/>
  <c r="K76" i="8"/>
  <c r="K77" i="8" s="1"/>
  <c r="K67" i="8"/>
  <c r="K68" i="8" s="1"/>
  <c r="K58" i="8"/>
  <c r="K59" i="8" s="1"/>
  <c r="O103" i="8"/>
  <c r="O104" i="8" s="1"/>
  <c r="O94" i="8"/>
  <c r="O95" i="8" s="1"/>
  <c r="O85" i="8"/>
  <c r="O86" i="8" s="1"/>
  <c r="O76" i="8"/>
  <c r="O77" i="8" s="1"/>
  <c r="O67" i="8"/>
  <c r="O68" i="8" s="1"/>
  <c r="O58" i="8"/>
  <c r="O59" i="8" s="1"/>
  <c r="S103" i="8"/>
  <c r="S104" i="8" s="1"/>
  <c r="S94" i="8"/>
  <c r="S95" i="8" s="1"/>
  <c r="S85" i="8"/>
  <c r="S86" i="8" s="1"/>
  <c r="S76" i="8"/>
  <c r="S77" i="8" s="1"/>
  <c r="S67" i="8"/>
  <c r="S68" i="8" s="1"/>
  <c r="S58" i="8"/>
  <c r="S59" i="8" s="1"/>
  <c r="H103" i="8"/>
  <c r="H104" i="8" s="1"/>
  <c r="H94" i="8"/>
  <c r="H95" i="8" s="1"/>
  <c r="H85" i="8"/>
  <c r="H86" i="8" s="1"/>
  <c r="H67" i="8"/>
  <c r="H68" i="8" s="1"/>
  <c r="H58" i="8"/>
  <c r="H59" i="8" s="1"/>
  <c r="H76" i="8"/>
  <c r="H77" i="8" s="1"/>
  <c r="L103" i="8"/>
  <c r="L104" i="8" s="1"/>
  <c r="L94" i="8"/>
  <c r="L95" i="8" s="1"/>
  <c r="L85" i="8"/>
  <c r="L86" i="8" s="1"/>
  <c r="L76" i="8"/>
  <c r="L77" i="8" s="1"/>
  <c r="L67" i="8"/>
  <c r="L68" i="8" s="1"/>
  <c r="L58" i="8"/>
  <c r="L59" i="8" s="1"/>
  <c r="P103" i="8"/>
  <c r="P104" i="8" s="1"/>
  <c r="P94" i="8"/>
  <c r="P95" i="8" s="1"/>
  <c r="P85" i="8"/>
  <c r="P86" i="8" s="1"/>
  <c r="P76" i="8"/>
  <c r="P77" i="8" s="1"/>
  <c r="P67" i="8"/>
  <c r="P68" i="8" s="1"/>
  <c r="P58" i="8"/>
  <c r="P59" i="8" s="1"/>
  <c r="S57" i="8"/>
  <c r="R57" i="8"/>
  <c r="I103" i="8"/>
  <c r="I104" i="8" s="1"/>
  <c r="I94" i="8"/>
  <c r="I95" i="8" s="1"/>
  <c r="I85" i="8"/>
  <c r="I86" i="8" s="1"/>
  <c r="I67" i="8"/>
  <c r="I68" i="8" s="1"/>
  <c r="I58" i="8"/>
  <c r="I59" i="8" s="1"/>
  <c r="I76" i="8"/>
  <c r="I77" i="8" s="1"/>
  <c r="M103" i="8"/>
  <c r="M104" i="8" s="1"/>
  <c r="M94" i="8"/>
  <c r="M95" i="8" s="1"/>
  <c r="M85" i="8"/>
  <c r="M86" i="8" s="1"/>
  <c r="M76" i="8"/>
  <c r="M77" i="8" s="1"/>
  <c r="M67" i="8"/>
  <c r="M68" i="8" s="1"/>
  <c r="M58" i="8"/>
  <c r="M59" i="8" s="1"/>
  <c r="Q103" i="8"/>
  <c r="Q104" i="8" s="1"/>
  <c r="Q94" i="8"/>
  <c r="Q95" i="8" s="1"/>
  <c r="Q85" i="8"/>
  <c r="Q86" i="8" s="1"/>
  <c r="Q67" i="8"/>
  <c r="Q68" i="8" s="1"/>
  <c r="Q58" i="8"/>
  <c r="Q59" i="8" s="1"/>
  <c r="Q76" i="8"/>
  <c r="Q77" i="8" s="1"/>
  <c r="J30" i="8"/>
  <c r="N30" i="8"/>
  <c r="R30" i="8"/>
  <c r="J103" i="8"/>
  <c r="J104" i="8" s="1"/>
  <c r="J94" i="8"/>
  <c r="J95" i="8" s="1"/>
  <c r="J85" i="8"/>
  <c r="J86" i="8" s="1"/>
  <c r="J67" i="8"/>
  <c r="J68" i="8" s="1"/>
  <c r="J58" i="8"/>
  <c r="J59" i="8" s="1"/>
  <c r="J76" i="8"/>
  <c r="J77" i="8" s="1"/>
  <c r="N103" i="8"/>
  <c r="N104" i="8" s="1"/>
  <c r="N94" i="8"/>
  <c r="N95" i="8" s="1"/>
  <c r="N85" i="8"/>
  <c r="N86" i="8" s="1"/>
  <c r="N67" i="8"/>
  <c r="N68" i="8" s="1"/>
  <c r="N58" i="8"/>
  <c r="N59" i="8" s="1"/>
  <c r="N76" i="8"/>
  <c r="N77" i="8" s="1"/>
  <c r="R103" i="8"/>
  <c r="R104" i="8" s="1"/>
  <c r="R94" i="8"/>
  <c r="R95" i="8" s="1"/>
  <c r="R85" i="8"/>
  <c r="R86" i="8" s="1"/>
  <c r="R67" i="8"/>
  <c r="R68" i="8" s="1"/>
  <c r="R58" i="8"/>
  <c r="R59" i="8" s="1"/>
  <c r="R76" i="8"/>
  <c r="R77" i="8" s="1"/>
  <c r="G30" i="8"/>
  <c r="K30" i="8"/>
  <c r="O30" i="8"/>
  <c r="S30" i="8"/>
  <c r="T8" i="8"/>
  <c r="T10" i="8" s="1"/>
  <c r="Q57" i="8"/>
  <c r="D79" i="8"/>
  <c r="J79" i="8" s="1"/>
  <c r="J80" i="8" s="1"/>
  <c r="M79" i="8"/>
  <c r="M80" i="8" s="1"/>
  <c r="T14" i="8"/>
  <c r="T26" i="8" s="1"/>
  <c r="T29" i="8"/>
  <c r="H10" i="8"/>
  <c r="H30" i="8" s="1"/>
  <c r="L10" i="8"/>
  <c r="L30" i="8" s="1"/>
  <c r="P10" i="8"/>
  <c r="P30" i="8" s="1"/>
  <c r="N79" i="8"/>
  <c r="N80" i="8" s="1"/>
  <c r="K79" i="8"/>
  <c r="K80" i="8" s="1"/>
  <c r="S79" i="8"/>
  <c r="S80" i="8" s="1"/>
  <c r="I10" i="8"/>
  <c r="I30" i="8" s="1"/>
  <c r="M10" i="8"/>
  <c r="M30" i="8" s="1"/>
  <c r="Q10" i="8"/>
  <c r="Q30" i="8" s="1"/>
  <c r="D61" i="8"/>
  <c r="O61" i="8" s="1"/>
  <c r="O62" i="8" s="1"/>
  <c r="D70" i="8"/>
  <c r="O70" i="8" s="1"/>
  <c r="O71" i="8" s="1"/>
  <c r="N70" i="8"/>
  <c r="N71" i="8" s="1"/>
  <c r="D115" i="8"/>
  <c r="D88" i="8"/>
  <c r="I88" i="8" s="1"/>
  <c r="I89" i="8" s="1"/>
  <c r="D97" i="8"/>
  <c r="S97" i="8" s="1"/>
  <c r="S98" i="8" s="1"/>
  <c r="D106" i="8"/>
  <c r="H106" i="8" s="1"/>
  <c r="H107" i="8" s="1"/>
  <c r="D109" i="8"/>
  <c r="AH79" i="7"/>
  <c r="AH237" i="7"/>
  <c r="AB79" i="6"/>
  <c r="AB272" i="6" s="1"/>
  <c r="AF79" i="6"/>
  <c r="AF272" i="6" s="1"/>
  <c r="AD79" i="6"/>
  <c r="AD272" i="6" s="1"/>
  <c r="D67" i="3"/>
  <c r="D73" i="3" s="1"/>
  <c r="R79" i="8" l="1"/>
  <c r="R80" i="8" s="1"/>
  <c r="O79" i="8"/>
  <c r="O80" i="8" s="1"/>
  <c r="I79" i="8"/>
  <c r="I80" i="8" s="1"/>
  <c r="M76" i="9"/>
  <c r="M77" i="9" s="1"/>
  <c r="R94" i="9"/>
  <c r="R95" i="9" s="1"/>
  <c r="R103" i="9"/>
  <c r="R104" i="9" s="1"/>
  <c r="AD50" i="12"/>
  <c r="AC17" i="13"/>
  <c r="AE46" i="13"/>
  <c r="AC33" i="13"/>
  <c r="AC26" i="13"/>
  <c r="M30" i="9"/>
  <c r="M85" i="9"/>
  <c r="M86" i="9" s="1"/>
  <c r="R58" i="9"/>
  <c r="R59" i="9" s="1"/>
  <c r="R76" i="9"/>
  <c r="R77" i="9" s="1"/>
  <c r="AD51" i="12"/>
  <c r="AD46" i="12"/>
  <c r="AD6" i="12"/>
  <c r="AE41" i="13"/>
  <c r="AC41" i="13"/>
  <c r="AC36" i="13"/>
  <c r="AC46" i="13"/>
  <c r="AD44" i="12"/>
  <c r="G79" i="8"/>
  <c r="G80" i="8" s="1"/>
  <c r="Q79" i="8"/>
  <c r="Q80" i="8" s="1"/>
  <c r="M67" i="9"/>
  <c r="M68" i="9" s="1"/>
  <c r="AC23" i="13"/>
  <c r="AE49" i="13"/>
  <c r="H61" i="9"/>
  <c r="H62" i="9" s="1"/>
  <c r="R106" i="9"/>
  <c r="R107" i="9" s="1"/>
  <c r="O106" i="9"/>
  <c r="O107" i="9" s="1"/>
  <c r="L106" i="9"/>
  <c r="L107" i="9" s="1"/>
  <c r="I106" i="9"/>
  <c r="I107" i="9" s="1"/>
  <c r="M106" i="9"/>
  <c r="M107" i="9" s="1"/>
  <c r="Q106" i="9"/>
  <c r="Q107" i="9" s="1"/>
  <c r="G106" i="9"/>
  <c r="G107" i="9" s="1"/>
  <c r="H106" i="9"/>
  <c r="H107" i="9" s="1"/>
  <c r="K106" i="9"/>
  <c r="K107" i="9" s="1"/>
  <c r="O94" i="9"/>
  <c r="O95" i="9" s="1"/>
  <c r="T95" i="9" s="1"/>
  <c r="O85" i="9"/>
  <c r="O86" i="9" s="1"/>
  <c r="O58" i="9"/>
  <c r="O59" i="9" s="1"/>
  <c r="O67" i="9"/>
  <c r="O68" i="9" s="1"/>
  <c r="O103" i="9"/>
  <c r="O104" i="9" s="1"/>
  <c r="T104" i="9" s="1"/>
  <c r="M70" i="9"/>
  <c r="M71" i="9" s="1"/>
  <c r="K70" i="9"/>
  <c r="K71" i="9" s="1"/>
  <c r="I76" i="9"/>
  <c r="I77" i="9" s="1"/>
  <c r="I103" i="9"/>
  <c r="I104" i="9" s="1"/>
  <c r="I67" i="9"/>
  <c r="I68" i="9" s="1"/>
  <c r="I97" i="8"/>
  <c r="I98" i="8" s="1"/>
  <c r="G97" i="8"/>
  <c r="G98" i="8" s="1"/>
  <c r="O97" i="8"/>
  <c r="O98" i="8" s="1"/>
  <c r="M61" i="9"/>
  <c r="M62" i="9" s="1"/>
  <c r="S61" i="9"/>
  <c r="S62" i="9" s="1"/>
  <c r="I61" i="9"/>
  <c r="I62" i="9" s="1"/>
  <c r="N61" i="9"/>
  <c r="N62" i="9" s="1"/>
  <c r="Q61" i="9"/>
  <c r="Q62" i="9" s="1"/>
  <c r="S106" i="9"/>
  <c r="S107" i="9" s="1"/>
  <c r="AB36" i="12"/>
  <c r="AB11" i="12"/>
  <c r="AB23" i="12"/>
  <c r="AB18" i="12"/>
  <c r="AB19" i="12"/>
  <c r="AB7" i="12"/>
  <c r="AB15" i="12"/>
  <c r="AB33" i="12"/>
  <c r="AB24" i="12"/>
  <c r="AB31" i="12"/>
  <c r="AB45" i="12"/>
  <c r="AB10" i="12"/>
  <c r="AB14" i="12"/>
  <c r="AB51" i="12"/>
  <c r="AB48" i="12"/>
  <c r="AB25" i="12"/>
  <c r="AB32" i="12"/>
  <c r="AB47" i="12"/>
  <c r="AB30" i="12"/>
  <c r="AB6" i="12"/>
  <c r="AB41" i="12"/>
  <c r="AB8" i="12"/>
  <c r="AB12" i="12"/>
  <c r="AB16" i="12"/>
  <c r="AB42" i="12"/>
  <c r="AB35" i="12"/>
  <c r="AB52" i="12"/>
  <c r="AB27" i="12"/>
  <c r="AB34" i="12"/>
  <c r="AB17" i="12"/>
  <c r="AB44" i="12"/>
  <c r="AB53" i="12"/>
  <c r="AB49" i="12"/>
  <c r="J97" i="8"/>
  <c r="J98" i="8" s="1"/>
  <c r="L61" i="9"/>
  <c r="L62" i="9" s="1"/>
  <c r="J61" i="9"/>
  <c r="J62" i="9" s="1"/>
  <c r="O61" i="9"/>
  <c r="O62" i="9" s="1"/>
  <c r="AB43" i="12"/>
  <c r="K97" i="8"/>
  <c r="K98" i="8" s="1"/>
  <c r="T26" i="9"/>
  <c r="T30" i="9" s="1"/>
  <c r="J106" i="9"/>
  <c r="J107" i="9" s="1"/>
  <c r="O76" i="9"/>
  <c r="O77" i="9" s="1"/>
  <c r="T77" i="9" s="1"/>
  <c r="AB46" i="12"/>
  <c r="AB28" i="12"/>
  <c r="AB29" i="12"/>
  <c r="AB37" i="12"/>
  <c r="Z6" i="13"/>
  <c r="Z46" i="13"/>
  <c r="Z45" i="13"/>
  <c r="Z48" i="13"/>
  <c r="Z40" i="13"/>
  <c r="Z53" i="13"/>
  <c r="Z17" i="13"/>
  <c r="Z49" i="13"/>
  <c r="AC28" i="13"/>
  <c r="AC7" i="13"/>
  <c r="AC11" i="13"/>
  <c r="AC53" i="13"/>
  <c r="AC50" i="13"/>
  <c r="AC31" i="13"/>
  <c r="AC18" i="13"/>
  <c r="AC14" i="13"/>
  <c r="AC24" i="13"/>
  <c r="AC43" i="13"/>
  <c r="AC8" i="13"/>
  <c r="AC44" i="13"/>
  <c r="AC13" i="13"/>
  <c r="AC34" i="13"/>
  <c r="AC52" i="13"/>
  <c r="AC19" i="13"/>
  <c r="AC30" i="13"/>
  <c r="AC32" i="13"/>
  <c r="AC45" i="13"/>
  <c r="AC12" i="13"/>
  <c r="AC29" i="13"/>
  <c r="AC40" i="13"/>
  <c r="AC49" i="13"/>
  <c r="AC27" i="13"/>
  <c r="AC15" i="13"/>
  <c r="AC9" i="13"/>
  <c r="AC35" i="13"/>
  <c r="AC25" i="13"/>
  <c r="AC48" i="13"/>
  <c r="AC47" i="13"/>
  <c r="AC6" i="13"/>
  <c r="N61" i="8"/>
  <c r="N62" i="8" s="1"/>
  <c r="O30" i="9"/>
  <c r="Q58" i="9"/>
  <c r="Q59" i="9" s="1"/>
  <c r="Q85" i="9"/>
  <c r="Q86" i="9" s="1"/>
  <c r="N85" i="9"/>
  <c r="N86" i="9" s="1"/>
  <c r="N94" i="9"/>
  <c r="N95" i="9" s="1"/>
  <c r="K67" i="9"/>
  <c r="K68" i="9" s="1"/>
  <c r="N30" i="9"/>
  <c r="AD20" i="12"/>
  <c r="AE45" i="13"/>
  <c r="AB20" i="12"/>
  <c r="AE6" i="13"/>
  <c r="Q30" i="9"/>
  <c r="K94" i="9"/>
  <c r="K95" i="9" s="1"/>
  <c r="AD23" i="12"/>
  <c r="AA40" i="13"/>
  <c r="U23" i="13"/>
  <c r="S23" i="13"/>
  <c r="W23" i="13"/>
  <c r="R23" i="13"/>
  <c r="T23" i="13"/>
  <c r="Q79" i="6"/>
  <c r="Q146" i="6" s="1"/>
  <c r="AH79" i="6"/>
  <c r="AB51" i="13"/>
  <c r="O54" i="13"/>
  <c r="AA51" i="13"/>
  <c r="AE51" i="13"/>
  <c r="Z51" i="13"/>
  <c r="AC51" i="13"/>
  <c r="AD51" i="13"/>
  <c r="AC37" i="13"/>
  <c r="AD37" i="13"/>
  <c r="AB37" i="13"/>
  <c r="AE37" i="13"/>
  <c r="AA37" i="13"/>
  <c r="Z37" i="13"/>
  <c r="AE36" i="13"/>
  <c r="AE33" i="13"/>
  <c r="AE29" i="13"/>
  <c r="AE25" i="13"/>
  <c r="AE32" i="13"/>
  <c r="AE30" i="13"/>
  <c r="AE28" i="13"/>
  <c r="AE26" i="13"/>
  <c r="AE24" i="13"/>
  <c r="AE19" i="13"/>
  <c r="AE13" i="13"/>
  <c r="AE43" i="13"/>
  <c r="AE35" i="13"/>
  <c r="AE16" i="13"/>
  <c r="AE50" i="13"/>
  <c r="AE27" i="13"/>
  <c r="AE18" i="13"/>
  <c r="AE12" i="13"/>
  <c r="AE8" i="13"/>
  <c r="AE53" i="13"/>
  <c r="AE23" i="13"/>
  <c r="AE10" i="13"/>
  <c r="AE17" i="13"/>
  <c r="AE52" i="13"/>
  <c r="AE34" i="13"/>
  <c r="AE14" i="13"/>
  <c r="AE11" i="13"/>
  <c r="AE7" i="13"/>
  <c r="AE47" i="13"/>
  <c r="AE42" i="13"/>
  <c r="AE31" i="13"/>
  <c r="AE15" i="13"/>
  <c r="AE48" i="13"/>
  <c r="AE9" i="13"/>
  <c r="AA48" i="13"/>
  <c r="AD30" i="13"/>
  <c r="AD26" i="13"/>
  <c r="AD52" i="13"/>
  <c r="AD47" i="13"/>
  <c r="AD34" i="13"/>
  <c r="AD14" i="13"/>
  <c r="AD32" i="13"/>
  <c r="AD28" i="13"/>
  <c r="AD24" i="13"/>
  <c r="AD19" i="13"/>
  <c r="AD13" i="13"/>
  <c r="AD35" i="13"/>
  <c r="AD9" i="13"/>
  <c r="AD46" i="13"/>
  <c r="AD7" i="13"/>
  <c r="AD31" i="13"/>
  <c r="AD16" i="13"/>
  <c r="AD15" i="13"/>
  <c r="AD10" i="13"/>
  <c r="AD29" i="13"/>
  <c r="AD27" i="13"/>
  <c r="AD18" i="13"/>
  <c r="AD12" i="13"/>
  <c r="AD8" i="13"/>
  <c r="AD36" i="13"/>
  <c r="AD11" i="13"/>
  <c r="AD43" i="13"/>
  <c r="AD33" i="13"/>
  <c r="AD25" i="13"/>
  <c r="AD23" i="13"/>
  <c r="AE40" i="13"/>
  <c r="O20" i="13"/>
  <c r="T17" i="13"/>
  <c r="W17" i="13"/>
  <c r="S17" i="13"/>
  <c r="R17" i="13"/>
  <c r="V17" i="13"/>
  <c r="U17" i="13"/>
  <c r="W34" i="13"/>
  <c r="S34" i="13"/>
  <c r="O37" i="13"/>
  <c r="V34" i="13"/>
  <c r="U34" i="13"/>
  <c r="T34" i="13"/>
  <c r="R34" i="13"/>
  <c r="AA36" i="13"/>
  <c r="AA33" i="13"/>
  <c r="AA29" i="13"/>
  <c r="AA25" i="13"/>
  <c r="AA43" i="13"/>
  <c r="AA35" i="13"/>
  <c r="AA13" i="13"/>
  <c r="AA31" i="13"/>
  <c r="AA27" i="13"/>
  <c r="AA23" i="13"/>
  <c r="AA16" i="13"/>
  <c r="AA28" i="13"/>
  <c r="AA19" i="13"/>
  <c r="AA15" i="13"/>
  <c r="AA12" i="13"/>
  <c r="AA8" i="13"/>
  <c r="AA52" i="13"/>
  <c r="AA34" i="13"/>
  <c r="AA32" i="13"/>
  <c r="AA18" i="13"/>
  <c r="AA10" i="13"/>
  <c r="AA47" i="13"/>
  <c r="AA42" i="13"/>
  <c r="AA26" i="13"/>
  <c r="AA14" i="13"/>
  <c r="AA9" i="13"/>
  <c r="AA50" i="13"/>
  <c r="AA44" i="13"/>
  <c r="AA30" i="13"/>
  <c r="AA17" i="13"/>
  <c r="AA11" i="13"/>
  <c r="AA7" i="13"/>
  <c r="AA24" i="13"/>
  <c r="AA45" i="13"/>
  <c r="AE20" i="13"/>
  <c r="AA20" i="13"/>
  <c r="Z20" i="13"/>
  <c r="AD20" i="13"/>
  <c r="AC20" i="13"/>
  <c r="AB20" i="13"/>
  <c r="Z30" i="13"/>
  <c r="Z26" i="13"/>
  <c r="Z41" i="13"/>
  <c r="Z32" i="13"/>
  <c r="Z28" i="13"/>
  <c r="Z24" i="13"/>
  <c r="Z19" i="13"/>
  <c r="Z14" i="13"/>
  <c r="Z43" i="13"/>
  <c r="Z35" i="13"/>
  <c r="Z33" i="13"/>
  <c r="Z29" i="13"/>
  <c r="Z25" i="13"/>
  <c r="Z13" i="13"/>
  <c r="Z47" i="13"/>
  <c r="Z42" i="13"/>
  <c r="Z31" i="13"/>
  <c r="Z23" i="13"/>
  <c r="Z9" i="13"/>
  <c r="Z50" i="13"/>
  <c r="Z27" i="13"/>
  <c r="Z11" i="13"/>
  <c r="Z52" i="13"/>
  <c r="Z16" i="13"/>
  <c r="Z15" i="13"/>
  <c r="Z12" i="13"/>
  <c r="Z8" i="13"/>
  <c r="Z7" i="13"/>
  <c r="Z36" i="13"/>
  <c r="Z34" i="13"/>
  <c r="Z18" i="13"/>
  <c r="Z10" i="13"/>
  <c r="W6" i="13"/>
  <c r="S6" i="13"/>
  <c r="U6" i="13"/>
  <c r="T6" i="13"/>
  <c r="V6" i="13"/>
  <c r="R6" i="13"/>
  <c r="AD45" i="13"/>
  <c r="W23" i="12"/>
  <c r="S23" i="12"/>
  <c r="U23" i="12"/>
  <c r="R23" i="12"/>
  <c r="V23" i="12"/>
  <c r="T23" i="12"/>
  <c r="Z30" i="12"/>
  <c r="Z26" i="12"/>
  <c r="Z49" i="12"/>
  <c r="Z45" i="12"/>
  <c r="Z41" i="12"/>
  <c r="Z36" i="12"/>
  <c r="Z33" i="12"/>
  <c r="Z29" i="12"/>
  <c r="Z25" i="12"/>
  <c r="Z35" i="12"/>
  <c r="Z32" i="12"/>
  <c r="Z28" i="12"/>
  <c r="Z24" i="12"/>
  <c r="Z52" i="12"/>
  <c r="Z19" i="12"/>
  <c r="Z16" i="12"/>
  <c r="Z12" i="12"/>
  <c r="Z8" i="12"/>
  <c r="Z43" i="12"/>
  <c r="Z34" i="12"/>
  <c r="Z47" i="12"/>
  <c r="Z18" i="12"/>
  <c r="Z15" i="12"/>
  <c r="Z11" i="12"/>
  <c r="Z7" i="12"/>
  <c r="Z31" i="12"/>
  <c r="Z27" i="12"/>
  <c r="Z14" i="12"/>
  <c r="Z10" i="12"/>
  <c r="Z13" i="12"/>
  <c r="Z9" i="12"/>
  <c r="Z20" i="12"/>
  <c r="AD40" i="12"/>
  <c r="Z40" i="12"/>
  <c r="AC40" i="12"/>
  <c r="AB40" i="12"/>
  <c r="AE40" i="12"/>
  <c r="AA40" i="12"/>
  <c r="Z53" i="12"/>
  <c r="O20" i="12"/>
  <c r="V17" i="12"/>
  <c r="R17" i="12"/>
  <c r="W17" i="12"/>
  <c r="U17" i="12"/>
  <c r="S17" i="12"/>
  <c r="T17" i="12"/>
  <c r="Z6" i="12"/>
  <c r="V6" i="12"/>
  <c r="R6" i="12"/>
  <c r="U6" i="12"/>
  <c r="T6" i="12"/>
  <c r="S6" i="12"/>
  <c r="W6" i="12"/>
  <c r="Z48" i="12"/>
  <c r="W34" i="12"/>
  <c r="S34" i="12"/>
  <c r="V34" i="12"/>
  <c r="R34" i="12"/>
  <c r="O37" i="12"/>
  <c r="U34" i="12"/>
  <c r="T34" i="12"/>
  <c r="Z23" i="12"/>
  <c r="Z42" i="12"/>
  <c r="Z17" i="12"/>
  <c r="Z44" i="12"/>
  <c r="O54" i="12"/>
  <c r="Z46" i="12"/>
  <c r="AD30" i="12"/>
  <c r="AD26" i="12"/>
  <c r="AD49" i="12"/>
  <c r="AD45" i="12"/>
  <c r="AD41" i="12"/>
  <c r="AD36" i="12"/>
  <c r="AD33" i="12"/>
  <c r="AD29" i="12"/>
  <c r="AD25" i="12"/>
  <c r="AD35" i="12"/>
  <c r="AD32" i="12"/>
  <c r="AD28" i="12"/>
  <c r="AD24" i="12"/>
  <c r="AD47" i="12"/>
  <c r="AD16" i="12"/>
  <c r="AD12" i="12"/>
  <c r="AD8" i="12"/>
  <c r="AD52" i="12"/>
  <c r="AD18" i="12"/>
  <c r="AD15" i="12"/>
  <c r="AD11" i="12"/>
  <c r="AD7" i="12"/>
  <c r="AD43" i="12"/>
  <c r="AD34" i="12"/>
  <c r="AD31" i="12"/>
  <c r="AD27" i="12"/>
  <c r="AD19" i="12"/>
  <c r="AD14" i="12"/>
  <c r="AD10" i="12"/>
  <c r="AD13" i="12"/>
  <c r="AD9" i="12"/>
  <c r="AD48" i="12"/>
  <c r="AD53" i="12"/>
  <c r="Z50" i="12"/>
  <c r="AD42" i="12"/>
  <c r="AD17" i="12"/>
  <c r="Z37" i="12"/>
  <c r="V17" i="11"/>
  <c r="R17" i="11"/>
  <c r="U17" i="11"/>
  <c r="Q17" i="11"/>
  <c r="T17" i="11"/>
  <c r="S17" i="11"/>
  <c r="U17" i="10"/>
  <c r="Q17" i="10"/>
  <c r="V17" i="10"/>
  <c r="T17" i="10"/>
  <c r="S17" i="10"/>
  <c r="R17" i="10"/>
  <c r="V15" i="10"/>
  <c r="R15" i="10"/>
  <c r="T15" i="10"/>
  <c r="U15" i="10"/>
  <c r="Q15" i="10"/>
  <c r="S15" i="10"/>
  <c r="H70" i="9"/>
  <c r="H71" i="9" s="1"/>
  <c r="Q70" i="9"/>
  <c r="Q71" i="9" s="1"/>
  <c r="I70" i="9"/>
  <c r="I71" i="9" s="1"/>
  <c r="P70" i="9"/>
  <c r="P71" i="9" s="1"/>
  <c r="T98" i="9"/>
  <c r="R61" i="9"/>
  <c r="R62" i="9" s="1"/>
  <c r="N70" i="9"/>
  <c r="N71" i="9" s="1"/>
  <c r="J70" i="9"/>
  <c r="J71" i="9" s="1"/>
  <c r="S70" i="9"/>
  <c r="S71" i="9" s="1"/>
  <c r="O70" i="9"/>
  <c r="O71" i="9" s="1"/>
  <c r="G70" i="9"/>
  <c r="G71" i="9" s="1"/>
  <c r="P61" i="9"/>
  <c r="P62" i="9" s="1"/>
  <c r="T80" i="9"/>
  <c r="R70" i="9"/>
  <c r="R71" i="9" s="1"/>
  <c r="K61" i="9"/>
  <c r="K62" i="9" s="1"/>
  <c r="L70" i="9"/>
  <c r="L71" i="9" s="1"/>
  <c r="S57" i="9"/>
  <c r="R57" i="9"/>
  <c r="T89" i="9"/>
  <c r="T59" i="9"/>
  <c r="I61" i="8"/>
  <c r="I62" i="8" s="1"/>
  <c r="N88" i="8"/>
  <c r="N89" i="8" s="1"/>
  <c r="J70" i="8"/>
  <c r="J71" i="8" s="1"/>
  <c r="J61" i="8"/>
  <c r="J62" i="8" s="1"/>
  <c r="S106" i="8"/>
  <c r="S107" i="8" s="1"/>
  <c r="O106" i="8"/>
  <c r="O107" i="8" s="1"/>
  <c r="K106" i="8"/>
  <c r="K107" i="8" s="1"/>
  <c r="G106" i="8"/>
  <c r="G107" i="8" s="1"/>
  <c r="I70" i="8"/>
  <c r="I71" i="8" s="1"/>
  <c r="R88" i="8"/>
  <c r="R89" i="8" s="1"/>
  <c r="N97" i="8"/>
  <c r="N98" i="8" s="1"/>
  <c r="J106" i="8"/>
  <c r="J107" i="8" s="1"/>
  <c r="P61" i="8"/>
  <c r="P62" i="8" s="1"/>
  <c r="Q106" i="8"/>
  <c r="Q107" i="8" s="1"/>
  <c r="M106" i="8"/>
  <c r="M107" i="8" s="1"/>
  <c r="I106" i="8"/>
  <c r="I107" i="8" s="1"/>
  <c r="K70" i="8"/>
  <c r="K71" i="8" s="1"/>
  <c r="K61" i="8"/>
  <c r="K62" i="8" s="1"/>
  <c r="P79" i="8"/>
  <c r="P80" i="8" s="1"/>
  <c r="L79" i="8"/>
  <c r="L80" i="8" s="1"/>
  <c r="H79" i="8"/>
  <c r="H80" i="8" s="1"/>
  <c r="T77" i="8"/>
  <c r="Q61" i="8"/>
  <c r="Q62" i="8" s="1"/>
  <c r="R97" i="8"/>
  <c r="R98" i="8" s="1"/>
  <c r="N106" i="8"/>
  <c r="N107" i="8" s="1"/>
  <c r="P70" i="8"/>
  <c r="P71" i="8" s="1"/>
  <c r="L61" i="8"/>
  <c r="L62" i="8" s="1"/>
  <c r="G70" i="8"/>
  <c r="G71" i="8" s="1"/>
  <c r="G61" i="8"/>
  <c r="G62" i="8" s="1"/>
  <c r="P88" i="8"/>
  <c r="P89" i="8" s="1"/>
  <c r="L88" i="8"/>
  <c r="L89" i="8" s="1"/>
  <c r="H88" i="8"/>
  <c r="H89" i="8" s="1"/>
  <c r="T86" i="8"/>
  <c r="R70" i="8"/>
  <c r="R71" i="8" s="1"/>
  <c r="R61" i="8"/>
  <c r="R62" i="8" s="1"/>
  <c r="S88" i="8"/>
  <c r="S89" i="8" s="1"/>
  <c r="O88" i="8"/>
  <c r="O89" i="8" s="1"/>
  <c r="K88" i="8"/>
  <c r="K89" i="8" s="1"/>
  <c r="G88" i="8"/>
  <c r="G89" i="8" s="1"/>
  <c r="Q70" i="8"/>
  <c r="Q71" i="8" s="1"/>
  <c r="M61" i="8"/>
  <c r="M62" i="8" s="1"/>
  <c r="R106" i="8"/>
  <c r="R107" i="8" s="1"/>
  <c r="J88" i="8"/>
  <c r="J89" i="8" s="1"/>
  <c r="L70" i="8"/>
  <c r="L71" i="8" s="1"/>
  <c r="H61" i="8"/>
  <c r="H62" i="8" s="1"/>
  <c r="Q88" i="8"/>
  <c r="Q89" i="8" s="1"/>
  <c r="M88" i="8"/>
  <c r="M89" i="8" s="1"/>
  <c r="S70" i="8"/>
  <c r="S71" i="8" s="1"/>
  <c r="S61" i="8"/>
  <c r="S62" i="8" s="1"/>
  <c r="P97" i="8"/>
  <c r="P98" i="8" s="1"/>
  <c r="L97" i="8"/>
  <c r="L98" i="8" s="1"/>
  <c r="H97" i="8"/>
  <c r="H98" i="8" s="1"/>
  <c r="T59" i="8"/>
  <c r="T95" i="8"/>
  <c r="M70" i="8"/>
  <c r="M71" i="8" s="1"/>
  <c r="H70" i="8"/>
  <c r="H71" i="8" s="1"/>
  <c r="T30" i="8"/>
  <c r="Q97" i="8"/>
  <c r="Q98" i="8" s="1"/>
  <c r="M97" i="8"/>
  <c r="M98" i="8" s="1"/>
  <c r="P106" i="8"/>
  <c r="P107" i="8" s="1"/>
  <c r="L106" i="8"/>
  <c r="L107" i="8" s="1"/>
  <c r="T68" i="8"/>
  <c r="T104" i="8"/>
  <c r="O19" i="5"/>
  <c r="O53" i="5"/>
  <c r="O52" i="5"/>
  <c r="P51" i="5"/>
  <c r="O51" i="5"/>
  <c r="N51" i="5"/>
  <c r="M51" i="5"/>
  <c r="L51" i="5"/>
  <c r="L54" i="5" s="1"/>
  <c r="K51" i="5"/>
  <c r="K54" i="5" s="1"/>
  <c r="J51" i="5"/>
  <c r="I51" i="5"/>
  <c r="H51" i="5"/>
  <c r="G51" i="5"/>
  <c r="G54" i="5" s="1"/>
  <c r="F51" i="5"/>
  <c r="E51" i="5"/>
  <c r="D51" i="5"/>
  <c r="C51" i="5"/>
  <c r="C54" i="5" s="1"/>
  <c r="O50" i="5"/>
  <c r="O49" i="5"/>
  <c r="O48" i="5"/>
  <c r="O47" i="5"/>
  <c r="O46" i="5"/>
  <c r="O45" i="5"/>
  <c r="O44" i="5"/>
  <c r="O43" i="5"/>
  <c r="O42" i="5"/>
  <c r="O41" i="5"/>
  <c r="N40" i="5"/>
  <c r="M40" i="5"/>
  <c r="L40" i="5"/>
  <c r="K40" i="5"/>
  <c r="J40" i="5"/>
  <c r="I40" i="5"/>
  <c r="H40" i="5"/>
  <c r="G40" i="5"/>
  <c r="F40" i="5"/>
  <c r="E40" i="5"/>
  <c r="E54" i="5" s="1"/>
  <c r="D40" i="5"/>
  <c r="C40" i="5"/>
  <c r="O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O33" i="5"/>
  <c r="O32" i="5"/>
  <c r="O31" i="5"/>
  <c r="O30" i="5"/>
  <c r="O29" i="5"/>
  <c r="O28" i="5"/>
  <c r="O27" i="5"/>
  <c r="O26" i="5"/>
  <c r="O25" i="5"/>
  <c r="O24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O18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O16" i="5"/>
  <c r="O15" i="5"/>
  <c r="O14" i="5"/>
  <c r="O13" i="5"/>
  <c r="O12" i="5"/>
  <c r="O11" i="5"/>
  <c r="O10" i="5"/>
  <c r="O9" i="5"/>
  <c r="O8" i="5"/>
  <c r="O7" i="5"/>
  <c r="N6" i="5"/>
  <c r="M6" i="5"/>
  <c r="L6" i="5"/>
  <c r="K6" i="5"/>
  <c r="J6" i="5"/>
  <c r="I6" i="5"/>
  <c r="H6" i="5"/>
  <c r="G6" i="5"/>
  <c r="G20" i="5" s="1"/>
  <c r="F6" i="5"/>
  <c r="E6" i="5"/>
  <c r="D6" i="5"/>
  <c r="C6" i="5"/>
  <c r="B6" i="5"/>
  <c r="W3" i="5"/>
  <c r="W19" i="5" s="1"/>
  <c r="V3" i="5"/>
  <c r="AD3" i="5" s="1"/>
  <c r="AD30" i="5" s="1"/>
  <c r="U3" i="5"/>
  <c r="AC3" i="5" s="1"/>
  <c r="AC19" i="5" s="1"/>
  <c r="T3" i="5"/>
  <c r="S3" i="5"/>
  <c r="AA3" i="5" s="1"/>
  <c r="AA19" i="5" s="1"/>
  <c r="R3" i="5"/>
  <c r="Z3" i="5" s="1"/>
  <c r="Z19" i="5" s="1"/>
  <c r="M17" i="4"/>
  <c r="I17" i="4"/>
  <c r="E17" i="4"/>
  <c r="N15" i="4"/>
  <c r="M15" i="4"/>
  <c r="L15" i="4"/>
  <c r="L17" i="4" s="1"/>
  <c r="K15" i="4"/>
  <c r="K17" i="4" s="1"/>
  <c r="J15" i="4"/>
  <c r="J17" i="4" s="1"/>
  <c r="I15" i="4"/>
  <c r="H15" i="4"/>
  <c r="H17" i="4" s="1"/>
  <c r="G15" i="4"/>
  <c r="G17" i="4" s="1"/>
  <c r="F15" i="4"/>
  <c r="F17" i="4" s="1"/>
  <c r="E15" i="4"/>
  <c r="D15" i="4"/>
  <c r="D17" i="4" s="1"/>
  <c r="C15" i="4"/>
  <c r="C17" i="4" s="1"/>
  <c r="B15" i="4"/>
  <c r="B17" i="4" s="1"/>
  <c r="N13" i="4"/>
  <c r="N12" i="4"/>
  <c r="N11" i="4"/>
  <c r="N10" i="4"/>
  <c r="N9" i="4"/>
  <c r="N8" i="4"/>
  <c r="N7" i="4"/>
  <c r="N6" i="4"/>
  <c r="N5" i="4"/>
  <c r="N4" i="4"/>
  <c r="V3" i="4"/>
  <c r="V14" i="4" s="1"/>
  <c r="U3" i="4"/>
  <c r="U16" i="4" s="1"/>
  <c r="T3" i="4"/>
  <c r="T16" i="4" s="1"/>
  <c r="S3" i="4"/>
  <c r="S7" i="4" s="1"/>
  <c r="R3" i="4"/>
  <c r="R14" i="4" s="1"/>
  <c r="Q3" i="4"/>
  <c r="Q16" i="4" s="1"/>
  <c r="D103" i="3"/>
  <c r="D94" i="3"/>
  <c r="D97" i="3" s="1"/>
  <c r="D85" i="3"/>
  <c r="D88" i="3" s="1"/>
  <c r="D76" i="3"/>
  <c r="D82" i="3" s="1"/>
  <c r="D70" i="3"/>
  <c r="D58" i="3"/>
  <c r="D64" i="3" s="1"/>
  <c r="P57" i="3"/>
  <c r="O57" i="3"/>
  <c r="N57" i="3"/>
  <c r="M57" i="3"/>
  <c r="L57" i="3"/>
  <c r="K57" i="3"/>
  <c r="J57" i="3"/>
  <c r="I57" i="3"/>
  <c r="H57" i="3"/>
  <c r="G57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S47" i="3"/>
  <c r="G47" i="8" s="1"/>
  <c r="R47" i="3"/>
  <c r="Q47" i="3"/>
  <c r="P47" i="3"/>
  <c r="O47" i="3"/>
  <c r="N47" i="3"/>
  <c r="M47" i="3"/>
  <c r="L47" i="3"/>
  <c r="K47" i="3"/>
  <c r="J47" i="3"/>
  <c r="I47" i="3"/>
  <c r="H47" i="3"/>
  <c r="G47" i="3"/>
  <c r="S46" i="3"/>
  <c r="G46" i="8" s="1"/>
  <c r="R46" i="3"/>
  <c r="Q46" i="3"/>
  <c r="P46" i="3"/>
  <c r="O46" i="3"/>
  <c r="N46" i="3"/>
  <c r="M46" i="3"/>
  <c r="L46" i="3"/>
  <c r="K46" i="3"/>
  <c r="J46" i="3"/>
  <c r="I46" i="3"/>
  <c r="H46" i="3"/>
  <c r="G46" i="3"/>
  <c r="S45" i="3"/>
  <c r="G45" i="8" s="1"/>
  <c r="R45" i="3"/>
  <c r="Q45" i="3"/>
  <c r="P45" i="3"/>
  <c r="O45" i="3"/>
  <c r="N45" i="3"/>
  <c r="M45" i="3"/>
  <c r="L45" i="3"/>
  <c r="K45" i="3"/>
  <c r="J45" i="3"/>
  <c r="I45" i="3"/>
  <c r="H45" i="3"/>
  <c r="G45" i="3"/>
  <c r="T44" i="3"/>
  <c r="S43" i="3"/>
  <c r="G43" i="8" s="1"/>
  <c r="R43" i="3"/>
  <c r="Q43" i="3"/>
  <c r="P43" i="3"/>
  <c r="O43" i="3"/>
  <c r="N43" i="3"/>
  <c r="M43" i="3"/>
  <c r="L43" i="3"/>
  <c r="K43" i="3"/>
  <c r="J43" i="3"/>
  <c r="I43" i="3"/>
  <c r="H43" i="3"/>
  <c r="G43" i="3"/>
  <c r="S42" i="3"/>
  <c r="G42" i="8" s="1"/>
  <c r="R42" i="3"/>
  <c r="Q42" i="3"/>
  <c r="P42" i="3"/>
  <c r="O42" i="3"/>
  <c r="N42" i="3"/>
  <c r="M42" i="3"/>
  <c r="L42" i="3"/>
  <c r="K42" i="3"/>
  <c r="J42" i="3"/>
  <c r="I42" i="3"/>
  <c r="H42" i="3"/>
  <c r="G42" i="3"/>
  <c r="S41" i="3"/>
  <c r="G41" i="8" s="1"/>
  <c r="R41" i="3"/>
  <c r="Q41" i="3"/>
  <c r="P41" i="3"/>
  <c r="O41" i="3"/>
  <c r="N41" i="3"/>
  <c r="M41" i="3"/>
  <c r="L41" i="3"/>
  <c r="K41" i="3"/>
  <c r="J41" i="3"/>
  <c r="I41" i="3"/>
  <c r="H41" i="3"/>
  <c r="G41" i="3"/>
  <c r="S40" i="3"/>
  <c r="G40" i="8" s="1"/>
  <c r="R40" i="3"/>
  <c r="Q40" i="3"/>
  <c r="P40" i="3"/>
  <c r="O40" i="3"/>
  <c r="N40" i="3"/>
  <c r="M40" i="3"/>
  <c r="L40" i="3"/>
  <c r="K40" i="3"/>
  <c r="J40" i="3"/>
  <c r="I40" i="3"/>
  <c r="H40" i="3"/>
  <c r="G40" i="3"/>
  <c r="S39" i="3"/>
  <c r="G39" i="8" s="1"/>
  <c r="R39" i="3"/>
  <c r="Q39" i="3"/>
  <c r="P39" i="3"/>
  <c r="O39" i="3"/>
  <c r="N39" i="3"/>
  <c r="M39" i="3"/>
  <c r="L39" i="3"/>
  <c r="K39" i="3"/>
  <c r="J39" i="3"/>
  <c r="I39" i="3"/>
  <c r="H39" i="3"/>
  <c r="G39" i="3"/>
  <c r="S38" i="3"/>
  <c r="G38" i="8" s="1"/>
  <c r="R38" i="3"/>
  <c r="Q38" i="3"/>
  <c r="P38" i="3"/>
  <c r="O38" i="3"/>
  <c r="N38" i="3"/>
  <c r="M38" i="3"/>
  <c r="L38" i="3"/>
  <c r="K38" i="3"/>
  <c r="J38" i="3"/>
  <c r="I38" i="3"/>
  <c r="H38" i="3"/>
  <c r="G38" i="3"/>
  <c r="S37" i="3"/>
  <c r="G37" i="8" s="1"/>
  <c r="R37" i="3"/>
  <c r="Q37" i="3"/>
  <c r="P37" i="3"/>
  <c r="O37" i="3"/>
  <c r="N37" i="3"/>
  <c r="M37" i="3"/>
  <c r="L37" i="3"/>
  <c r="K37" i="3"/>
  <c r="J37" i="3"/>
  <c r="I37" i="3"/>
  <c r="H37" i="3"/>
  <c r="G37" i="3"/>
  <c r="S36" i="3"/>
  <c r="G36" i="8" s="1"/>
  <c r="R36" i="3"/>
  <c r="Q36" i="3"/>
  <c r="P36" i="3"/>
  <c r="O36" i="3"/>
  <c r="N36" i="3"/>
  <c r="M36" i="3"/>
  <c r="L36" i="3"/>
  <c r="K36" i="3"/>
  <c r="J36" i="3"/>
  <c r="I36" i="3"/>
  <c r="H36" i="3"/>
  <c r="G36" i="3"/>
  <c r="S35" i="3"/>
  <c r="G35" i="8" s="1"/>
  <c r="R35" i="3"/>
  <c r="Q35" i="3"/>
  <c r="P35" i="3"/>
  <c r="O35" i="3"/>
  <c r="N35" i="3"/>
  <c r="M35" i="3"/>
  <c r="L35" i="3"/>
  <c r="K35" i="3"/>
  <c r="J35" i="3"/>
  <c r="I35" i="3"/>
  <c r="H35" i="3"/>
  <c r="G35" i="3"/>
  <c r="T34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T25" i="3"/>
  <c r="S24" i="3"/>
  <c r="R24" i="3"/>
  <c r="Q24" i="3"/>
  <c r="P24" i="3"/>
  <c r="O24" i="3"/>
  <c r="N24" i="3"/>
  <c r="M24" i="3"/>
  <c r="L24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T13" i="3"/>
  <c r="S8" i="3"/>
  <c r="S10" i="3" s="1"/>
  <c r="R8" i="3"/>
  <c r="R97" i="3" s="1"/>
  <c r="R98" i="3" s="1"/>
  <c r="Q8" i="3"/>
  <c r="P8" i="3"/>
  <c r="P10" i="3" s="1"/>
  <c r="O8" i="3"/>
  <c r="O10" i="3" s="1"/>
  <c r="N8" i="3"/>
  <c r="M8" i="3"/>
  <c r="L8" i="3"/>
  <c r="L10" i="3" s="1"/>
  <c r="K8" i="3"/>
  <c r="K10" i="3" s="1"/>
  <c r="J8" i="3"/>
  <c r="I8" i="3"/>
  <c r="H8" i="3"/>
  <c r="H10" i="3" s="1"/>
  <c r="G8" i="3"/>
  <c r="R5" i="3"/>
  <c r="S5" i="3" s="1"/>
  <c r="S57" i="3" s="1"/>
  <c r="Q5" i="3"/>
  <c r="Q57" i="3" s="1"/>
  <c r="AG253" i="1"/>
  <c r="AF253" i="1"/>
  <c r="AE253" i="1"/>
  <c r="AD253" i="1"/>
  <c r="AC253" i="1"/>
  <c r="AB253" i="1"/>
  <c r="AH253" i="1" s="1"/>
  <c r="Y253" i="1"/>
  <c r="X253" i="1"/>
  <c r="W253" i="1"/>
  <c r="V253" i="1"/>
  <c r="U253" i="1"/>
  <c r="R253" i="1" s="1"/>
  <c r="T253" i="1"/>
  <c r="AG248" i="1"/>
  <c r="AF248" i="1"/>
  <c r="AE248" i="1"/>
  <c r="AD248" i="1"/>
  <c r="AC248" i="1"/>
  <c r="AH248" i="1" s="1"/>
  <c r="AB248" i="1"/>
  <c r="Y248" i="1"/>
  <c r="X248" i="1"/>
  <c r="W248" i="1"/>
  <c r="V248" i="1"/>
  <c r="U248" i="1"/>
  <c r="T248" i="1"/>
  <c r="R248" i="1"/>
  <c r="AG247" i="1"/>
  <c r="AF247" i="1"/>
  <c r="AE247" i="1"/>
  <c r="AD247" i="1"/>
  <c r="AC247" i="1"/>
  <c r="AB247" i="1"/>
  <c r="AH247" i="1" s="1"/>
  <c r="Y247" i="1"/>
  <c r="X247" i="1"/>
  <c r="W247" i="1"/>
  <c r="V247" i="1"/>
  <c r="U247" i="1"/>
  <c r="R247" i="1" s="1"/>
  <c r="T247" i="1"/>
  <c r="AG246" i="1"/>
  <c r="AF246" i="1"/>
  <c r="AE246" i="1"/>
  <c r="AD246" i="1"/>
  <c r="AC246" i="1"/>
  <c r="AH246" i="1" s="1"/>
  <c r="AB246" i="1"/>
  <c r="Y246" i="1"/>
  <c r="X246" i="1"/>
  <c r="W246" i="1"/>
  <c r="V246" i="1"/>
  <c r="U246" i="1"/>
  <c r="T246" i="1"/>
  <c r="R246" i="1"/>
  <c r="AG245" i="1"/>
  <c r="AF245" i="1"/>
  <c r="AE245" i="1"/>
  <c r="AD245" i="1"/>
  <c r="AC245" i="1"/>
  <c r="AB245" i="1"/>
  <c r="AH245" i="1" s="1"/>
  <c r="Y245" i="1"/>
  <c r="X245" i="1"/>
  <c r="W245" i="1"/>
  <c r="V245" i="1"/>
  <c r="U245" i="1"/>
  <c r="R245" i="1" s="1"/>
  <c r="T245" i="1"/>
  <c r="AG244" i="1"/>
  <c r="AF244" i="1"/>
  <c r="AE244" i="1"/>
  <c r="AD244" i="1"/>
  <c r="AC244" i="1"/>
  <c r="AH244" i="1" s="1"/>
  <c r="AB244" i="1"/>
  <c r="Y244" i="1"/>
  <c r="X244" i="1"/>
  <c r="W244" i="1"/>
  <c r="V244" i="1"/>
  <c r="U244" i="1"/>
  <c r="T244" i="1"/>
  <c r="R244" i="1"/>
  <c r="AG243" i="1"/>
  <c r="AF243" i="1"/>
  <c r="AE243" i="1"/>
  <c r="AD243" i="1"/>
  <c r="AC243" i="1"/>
  <c r="AB243" i="1"/>
  <c r="AH243" i="1" s="1"/>
  <c r="Y243" i="1"/>
  <c r="X243" i="1"/>
  <c r="W243" i="1"/>
  <c r="V243" i="1"/>
  <c r="U243" i="1"/>
  <c r="R243" i="1" s="1"/>
  <c r="T243" i="1"/>
  <c r="AG238" i="1"/>
  <c r="AF238" i="1"/>
  <c r="AE238" i="1"/>
  <c r="AD238" i="1"/>
  <c r="AC238" i="1"/>
  <c r="AH238" i="1" s="1"/>
  <c r="AB238" i="1"/>
  <c r="Y238" i="1"/>
  <c r="X238" i="1"/>
  <c r="W238" i="1"/>
  <c r="V238" i="1"/>
  <c r="U238" i="1"/>
  <c r="T238" i="1"/>
  <c r="R238" i="1"/>
  <c r="AG237" i="1"/>
  <c r="AF237" i="1"/>
  <c r="AE237" i="1"/>
  <c r="AD237" i="1"/>
  <c r="AC237" i="1"/>
  <c r="AB237" i="1"/>
  <c r="AH237" i="1" s="1"/>
  <c r="Y237" i="1"/>
  <c r="X237" i="1"/>
  <c r="W237" i="1"/>
  <c r="V237" i="1"/>
  <c r="U237" i="1"/>
  <c r="R237" i="1" s="1"/>
  <c r="T237" i="1"/>
  <c r="AG232" i="1"/>
  <c r="AF232" i="1"/>
  <c r="AE232" i="1"/>
  <c r="AD232" i="1"/>
  <c r="AC232" i="1"/>
  <c r="AB232" i="1"/>
  <c r="Y232" i="1"/>
  <c r="X232" i="1"/>
  <c r="W232" i="1"/>
  <c r="V232" i="1"/>
  <c r="U232" i="1"/>
  <c r="T232" i="1"/>
  <c r="AG231" i="1"/>
  <c r="AF231" i="1"/>
  <c r="AE231" i="1"/>
  <c r="AD231" i="1"/>
  <c r="AC231" i="1"/>
  <c r="AB231" i="1"/>
  <c r="Y231" i="1"/>
  <c r="X231" i="1"/>
  <c r="W231" i="1"/>
  <c r="V231" i="1"/>
  <c r="U231" i="1"/>
  <c r="T231" i="1"/>
  <c r="AG230" i="1"/>
  <c r="AF230" i="1"/>
  <c r="AE230" i="1"/>
  <c r="AD230" i="1"/>
  <c r="AC230" i="1"/>
  <c r="AB230" i="1"/>
  <c r="Y230" i="1"/>
  <c r="X230" i="1"/>
  <c r="W230" i="1"/>
  <c r="V230" i="1"/>
  <c r="U230" i="1"/>
  <c r="T230" i="1"/>
  <c r="AG229" i="1"/>
  <c r="AF229" i="1"/>
  <c r="AE229" i="1"/>
  <c r="AD229" i="1"/>
  <c r="AC229" i="1"/>
  <c r="AH229" i="1" s="1"/>
  <c r="AB229" i="1"/>
  <c r="Y229" i="1"/>
  <c r="X229" i="1"/>
  <c r="W229" i="1"/>
  <c r="V229" i="1"/>
  <c r="U229" i="1"/>
  <c r="T229" i="1"/>
  <c r="R229" i="1"/>
  <c r="AG228" i="1"/>
  <c r="AF228" i="1"/>
  <c r="AE228" i="1"/>
  <c r="AD228" i="1"/>
  <c r="AC228" i="1"/>
  <c r="AB228" i="1"/>
  <c r="AH228" i="1" s="1"/>
  <c r="Y228" i="1"/>
  <c r="X228" i="1"/>
  <c r="W228" i="1"/>
  <c r="V228" i="1"/>
  <c r="U228" i="1"/>
  <c r="T228" i="1"/>
  <c r="R228" i="1" s="1"/>
  <c r="AG227" i="1"/>
  <c r="AF227" i="1"/>
  <c r="AE227" i="1"/>
  <c r="AD227" i="1"/>
  <c r="AC227" i="1"/>
  <c r="AH227" i="1" s="1"/>
  <c r="AB227" i="1"/>
  <c r="Y227" i="1"/>
  <c r="X227" i="1"/>
  <c r="W227" i="1"/>
  <c r="R227" i="1" s="1"/>
  <c r="V227" i="1"/>
  <c r="U227" i="1"/>
  <c r="T227" i="1"/>
  <c r="AG226" i="1"/>
  <c r="AF226" i="1"/>
  <c r="AE226" i="1"/>
  <c r="AD226" i="1"/>
  <c r="AC226" i="1"/>
  <c r="AB226" i="1"/>
  <c r="AH226" i="1" s="1"/>
  <c r="Y226" i="1"/>
  <c r="X226" i="1"/>
  <c r="W226" i="1"/>
  <c r="V226" i="1"/>
  <c r="U226" i="1"/>
  <c r="T226" i="1"/>
  <c r="R226" i="1" s="1"/>
  <c r="AG225" i="1"/>
  <c r="AF225" i="1"/>
  <c r="AE225" i="1"/>
  <c r="AD225" i="1"/>
  <c r="AC225" i="1"/>
  <c r="AH225" i="1" s="1"/>
  <c r="AB225" i="1"/>
  <c r="Y225" i="1"/>
  <c r="X225" i="1"/>
  <c r="W225" i="1"/>
  <c r="R225" i="1" s="1"/>
  <c r="V225" i="1"/>
  <c r="U225" i="1"/>
  <c r="T225" i="1"/>
  <c r="AG224" i="1"/>
  <c r="AF224" i="1"/>
  <c r="AE224" i="1"/>
  <c r="AD224" i="1"/>
  <c r="AC224" i="1"/>
  <c r="AB224" i="1"/>
  <c r="AH224" i="1" s="1"/>
  <c r="Y224" i="1"/>
  <c r="X224" i="1"/>
  <c r="W224" i="1"/>
  <c r="V224" i="1"/>
  <c r="U224" i="1"/>
  <c r="R224" i="1" s="1"/>
  <c r="T224" i="1"/>
  <c r="AG223" i="1"/>
  <c r="AF223" i="1"/>
  <c r="AE223" i="1"/>
  <c r="AD223" i="1"/>
  <c r="AC223" i="1"/>
  <c r="AH223" i="1" s="1"/>
  <c r="AB223" i="1"/>
  <c r="Y223" i="1"/>
  <c r="X223" i="1"/>
  <c r="W223" i="1"/>
  <c r="V223" i="1"/>
  <c r="U223" i="1"/>
  <c r="T223" i="1"/>
  <c r="R223" i="1"/>
  <c r="AG222" i="1"/>
  <c r="AF222" i="1"/>
  <c r="AE222" i="1"/>
  <c r="AD222" i="1"/>
  <c r="AC222" i="1"/>
  <c r="AB222" i="1"/>
  <c r="AH222" i="1" s="1"/>
  <c r="Y222" i="1"/>
  <c r="X222" i="1"/>
  <c r="W222" i="1"/>
  <c r="V222" i="1"/>
  <c r="U222" i="1"/>
  <c r="R222" i="1" s="1"/>
  <c r="T222" i="1"/>
  <c r="AG221" i="1"/>
  <c r="AF221" i="1"/>
  <c r="AE221" i="1"/>
  <c r="AD221" i="1"/>
  <c r="AC221" i="1"/>
  <c r="AH221" i="1" s="1"/>
  <c r="AB221" i="1"/>
  <c r="Y221" i="1"/>
  <c r="X221" i="1"/>
  <c r="W221" i="1"/>
  <c r="V221" i="1"/>
  <c r="U221" i="1"/>
  <c r="T221" i="1"/>
  <c r="R221" i="1"/>
  <c r="AG220" i="1"/>
  <c r="AF220" i="1"/>
  <c r="AE220" i="1"/>
  <c r="AD220" i="1"/>
  <c r="AC220" i="1"/>
  <c r="AB220" i="1"/>
  <c r="AH220" i="1" s="1"/>
  <c r="Y220" i="1"/>
  <c r="X220" i="1"/>
  <c r="W220" i="1"/>
  <c r="V220" i="1"/>
  <c r="U220" i="1"/>
  <c r="R220" i="1" s="1"/>
  <c r="T220" i="1"/>
  <c r="AG219" i="1"/>
  <c r="AF219" i="1"/>
  <c r="AE219" i="1"/>
  <c r="AD219" i="1"/>
  <c r="AC219" i="1"/>
  <c r="AH219" i="1" s="1"/>
  <c r="AB219" i="1"/>
  <c r="Y219" i="1"/>
  <c r="X219" i="1"/>
  <c r="W219" i="1"/>
  <c r="V219" i="1"/>
  <c r="U219" i="1"/>
  <c r="T219" i="1"/>
  <c r="R219" i="1"/>
  <c r="AG218" i="1"/>
  <c r="AF218" i="1"/>
  <c r="AE218" i="1"/>
  <c r="AD218" i="1"/>
  <c r="AC218" i="1"/>
  <c r="AB218" i="1"/>
  <c r="Y218" i="1"/>
  <c r="X218" i="1"/>
  <c r="W218" i="1"/>
  <c r="V218" i="1"/>
  <c r="U218" i="1"/>
  <c r="T218" i="1"/>
  <c r="R218" i="1" s="1"/>
  <c r="AG217" i="1"/>
  <c r="AF217" i="1"/>
  <c r="AE217" i="1"/>
  <c r="AD217" i="1"/>
  <c r="AB217" i="1"/>
  <c r="AH217" i="1" s="1"/>
  <c r="Y217" i="1"/>
  <c r="X217" i="1"/>
  <c r="W217" i="1"/>
  <c r="V217" i="1"/>
  <c r="U217" i="1"/>
  <c r="R217" i="1" s="1"/>
  <c r="T217" i="1"/>
  <c r="AH216" i="1"/>
  <c r="AG209" i="1"/>
  <c r="AF209" i="1"/>
  <c r="AE209" i="1"/>
  <c r="AD209" i="1"/>
  <c r="AH209" i="1" s="1"/>
  <c r="AC209" i="1"/>
  <c r="AB209" i="1"/>
  <c r="Y209" i="1"/>
  <c r="X209" i="1"/>
  <c r="W209" i="1"/>
  <c r="V209" i="1"/>
  <c r="U209" i="1"/>
  <c r="T209" i="1"/>
  <c r="AG208" i="1"/>
  <c r="AF208" i="1"/>
  <c r="AE208" i="1"/>
  <c r="AD208" i="1"/>
  <c r="AC208" i="1"/>
  <c r="AB208" i="1"/>
  <c r="AH208" i="1" s="1"/>
  <c r="Y208" i="1"/>
  <c r="X208" i="1"/>
  <c r="W208" i="1"/>
  <c r="V208" i="1"/>
  <c r="U208" i="1"/>
  <c r="R208" i="1" s="1"/>
  <c r="T208" i="1"/>
  <c r="AG207" i="1"/>
  <c r="AF207" i="1"/>
  <c r="AE207" i="1"/>
  <c r="AD207" i="1"/>
  <c r="AC207" i="1"/>
  <c r="AH207" i="1" s="1"/>
  <c r="AB207" i="1"/>
  <c r="Y207" i="1"/>
  <c r="X207" i="1"/>
  <c r="W207" i="1"/>
  <c r="V207" i="1"/>
  <c r="U207" i="1"/>
  <c r="T207" i="1"/>
  <c r="R207" i="1"/>
  <c r="AG206" i="1"/>
  <c r="AF206" i="1"/>
  <c r="AE206" i="1"/>
  <c r="AD206" i="1"/>
  <c r="AC206" i="1"/>
  <c r="AB206" i="1"/>
  <c r="AH206" i="1" s="1"/>
  <c r="Y206" i="1"/>
  <c r="X206" i="1"/>
  <c r="W206" i="1"/>
  <c r="V206" i="1"/>
  <c r="U206" i="1"/>
  <c r="R206" i="1" s="1"/>
  <c r="T206" i="1"/>
  <c r="AG205" i="1"/>
  <c r="AF205" i="1"/>
  <c r="AE205" i="1"/>
  <c r="AD205" i="1"/>
  <c r="AC205" i="1"/>
  <c r="AH205" i="1" s="1"/>
  <c r="AB205" i="1"/>
  <c r="Y205" i="1"/>
  <c r="X205" i="1"/>
  <c r="W205" i="1"/>
  <c r="V205" i="1"/>
  <c r="U205" i="1"/>
  <c r="T205" i="1"/>
  <c r="R205" i="1"/>
  <c r="AG204" i="1"/>
  <c r="AF204" i="1"/>
  <c r="AE204" i="1"/>
  <c r="AD204" i="1"/>
  <c r="AC204" i="1"/>
  <c r="AB204" i="1"/>
  <c r="AH204" i="1" s="1"/>
  <c r="Y204" i="1"/>
  <c r="X204" i="1"/>
  <c r="W204" i="1"/>
  <c r="V204" i="1"/>
  <c r="U204" i="1"/>
  <c r="R204" i="1" s="1"/>
  <c r="T204" i="1"/>
  <c r="AG199" i="1"/>
  <c r="AF199" i="1"/>
  <c r="AE199" i="1"/>
  <c r="AD199" i="1"/>
  <c r="AC199" i="1"/>
  <c r="AB199" i="1"/>
  <c r="Y199" i="1"/>
  <c r="X199" i="1"/>
  <c r="W199" i="1"/>
  <c r="V199" i="1"/>
  <c r="R199" i="1" s="1"/>
  <c r="U199" i="1"/>
  <c r="T199" i="1"/>
  <c r="AG198" i="1"/>
  <c r="AF198" i="1"/>
  <c r="AE198" i="1"/>
  <c r="AD198" i="1"/>
  <c r="AC198" i="1"/>
  <c r="AB198" i="1"/>
  <c r="Y198" i="1"/>
  <c r="X198" i="1"/>
  <c r="W198" i="1"/>
  <c r="V198" i="1"/>
  <c r="U198" i="1"/>
  <c r="T198" i="1"/>
  <c r="R198" i="1"/>
  <c r="AG197" i="1"/>
  <c r="AF197" i="1"/>
  <c r="AE197" i="1"/>
  <c r="AD197" i="1"/>
  <c r="AC197" i="1"/>
  <c r="AB197" i="1"/>
  <c r="AH197" i="1" s="1"/>
  <c r="Y197" i="1"/>
  <c r="X197" i="1"/>
  <c r="W197" i="1"/>
  <c r="V197" i="1"/>
  <c r="U197" i="1"/>
  <c r="R197" i="1" s="1"/>
  <c r="T197" i="1"/>
  <c r="AG196" i="1"/>
  <c r="AF196" i="1"/>
  <c r="AE196" i="1"/>
  <c r="AD196" i="1"/>
  <c r="AC196" i="1"/>
  <c r="AH196" i="1" s="1"/>
  <c r="AB196" i="1"/>
  <c r="Y196" i="1"/>
  <c r="X196" i="1"/>
  <c r="W196" i="1"/>
  <c r="V196" i="1"/>
  <c r="U196" i="1"/>
  <c r="T196" i="1"/>
  <c r="R196" i="1"/>
  <c r="AG191" i="1"/>
  <c r="AF191" i="1"/>
  <c r="AE191" i="1"/>
  <c r="AD191" i="1"/>
  <c r="AC191" i="1"/>
  <c r="AB191" i="1"/>
  <c r="AH191" i="1" s="1"/>
  <c r="Y191" i="1"/>
  <c r="X191" i="1"/>
  <c r="W191" i="1"/>
  <c r="V191" i="1"/>
  <c r="U191" i="1"/>
  <c r="T191" i="1"/>
  <c r="AG190" i="1"/>
  <c r="AF190" i="1"/>
  <c r="AE190" i="1"/>
  <c r="AD190" i="1"/>
  <c r="AC190" i="1"/>
  <c r="AB190" i="1"/>
  <c r="AH190" i="1" s="1"/>
  <c r="Y190" i="1"/>
  <c r="X190" i="1"/>
  <c r="W190" i="1"/>
  <c r="V190" i="1"/>
  <c r="U190" i="1"/>
  <c r="T190" i="1"/>
  <c r="AG189" i="1"/>
  <c r="AF189" i="1"/>
  <c r="AE189" i="1"/>
  <c r="AD189" i="1"/>
  <c r="AC189" i="1"/>
  <c r="AH189" i="1" s="1"/>
  <c r="AB189" i="1"/>
  <c r="Y189" i="1"/>
  <c r="X189" i="1"/>
  <c r="W189" i="1"/>
  <c r="R189" i="1" s="1"/>
  <c r="V189" i="1"/>
  <c r="U189" i="1"/>
  <c r="T189" i="1"/>
  <c r="AG188" i="1"/>
  <c r="AF188" i="1"/>
  <c r="AE188" i="1"/>
  <c r="AD188" i="1"/>
  <c r="AC188" i="1"/>
  <c r="AB188" i="1"/>
  <c r="AH188" i="1" s="1"/>
  <c r="Y188" i="1"/>
  <c r="X188" i="1"/>
  <c r="W188" i="1"/>
  <c r="V188" i="1"/>
  <c r="U188" i="1"/>
  <c r="R188" i="1" s="1"/>
  <c r="T188" i="1"/>
  <c r="AG187" i="1"/>
  <c r="AF187" i="1"/>
  <c r="AE187" i="1"/>
  <c r="AD187" i="1"/>
  <c r="AC187" i="1"/>
  <c r="AH187" i="1" s="1"/>
  <c r="AB187" i="1"/>
  <c r="Y187" i="1"/>
  <c r="X187" i="1"/>
  <c r="W187" i="1"/>
  <c r="V187" i="1"/>
  <c r="U187" i="1"/>
  <c r="T187" i="1"/>
  <c r="R187" i="1"/>
  <c r="AG186" i="1"/>
  <c r="AF186" i="1"/>
  <c r="AE186" i="1"/>
  <c r="AD186" i="1"/>
  <c r="AC186" i="1"/>
  <c r="AB186" i="1"/>
  <c r="AH186" i="1" s="1"/>
  <c r="Y186" i="1"/>
  <c r="X186" i="1"/>
  <c r="W186" i="1"/>
  <c r="V186" i="1"/>
  <c r="U186" i="1"/>
  <c r="R186" i="1" s="1"/>
  <c r="T186" i="1"/>
  <c r="AG175" i="1"/>
  <c r="AF175" i="1"/>
  <c r="AE175" i="1"/>
  <c r="AD175" i="1"/>
  <c r="AC175" i="1"/>
  <c r="AB175" i="1"/>
  <c r="Y175" i="1"/>
  <c r="X175" i="1"/>
  <c r="W175" i="1"/>
  <c r="V175" i="1"/>
  <c r="U175" i="1"/>
  <c r="T175" i="1"/>
  <c r="AG174" i="1"/>
  <c r="AF174" i="1"/>
  <c r="AE174" i="1"/>
  <c r="AD174" i="1"/>
  <c r="AC174" i="1"/>
  <c r="AH174" i="1" s="1"/>
  <c r="AB174" i="1"/>
  <c r="Y174" i="1"/>
  <c r="X174" i="1"/>
  <c r="W174" i="1"/>
  <c r="V174" i="1"/>
  <c r="U174" i="1"/>
  <c r="T174" i="1"/>
  <c r="R174" i="1"/>
  <c r="AG173" i="1"/>
  <c r="AF173" i="1"/>
  <c r="AE173" i="1"/>
  <c r="AD173" i="1"/>
  <c r="AC173" i="1"/>
  <c r="AB173" i="1"/>
  <c r="Y173" i="1"/>
  <c r="X173" i="1"/>
  <c r="W173" i="1"/>
  <c r="V173" i="1"/>
  <c r="U173" i="1"/>
  <c r="R173" i="1" s="1"/>
  <c r="T173" i="1"/>
  <c r="AG172" i="1"/>
  <c r="AF172" i="1"/>
  <c r="AE172" i="1"/>
  <c r="AD172" i="1"/>
  <c r="AC172" i="1"/>
  <c r="AB172" i="1"/>
  <c r="Y172" i="1"/>
  <c r="X172" i="1"/>
  <c r="W172" i="1"/>
  <c r="V172" i="1"/>
  <c r="U172" i="1"/>
  <c r="T172" i="1"/>
  <c r="R172" i="1"/>
  <c r="AG171" i="1"/>
  <c r="AF171" i="1"/>
  <c r="AE171" i="1"/>
  <c r="AD171" i="1"/>
  <c r="AC171" i="1"/>
  <c r="AB171" i="1"/>
  <c r="Y171" i="1"/>
  <c r="X171" i="1"/>
  <c r="W171" i="1"/>
  <c r="V171" i="1"/>
  <c r="U171" i="1"/>
  <c r="R171" i="1" s="1"/>
  <c r="T171" i="1"/>
  <c r="AG170" i="1"/>
  <c r="AF170" i="1"/>
  <c r="AE170" i="1"/>
  <c r="AD170" i="1"/>
  <c r="AC170" i="1"/>
  <c r="AB170" i="1"/>
  <c r="Y170" i="1"/>
  <c r="X170" i="1"/>
  <c r="W170" i="1"/>
  <c r="V170" i="1"/>
  <c r="U170" i="1"/>
  <c r="T170" i="1"/>
  <c r="R170" i="1"/>
  <c r="AG169" i="1"/>
  <c r="AF169" i="1"/>
  <c r="AE169" i="1"/>
  <c r="AD169" i="1"/>
  <c r="AC169" i="1"/>
  <c r="AB169" i="1"/>
  <c r="AH169" i="1" s="1"/>
  <c r="Y169" i="1"/>
  <c r="X169" i="1"/>
  <c r="W169" i="1"/>
  <c r="V169" i="1"/>
  <c r="U169" i="1"/>
  <c r="R169" i="1" s="1"/>
  <c r="T169" i="1"/>
  <c r="AG168" i="1"/>
  <c r="AF168" i="1"/>
  <c r="AE168" i="1"/>
  <c r="AD168" i="1"/>
  <c r="AC168" i="1"/>
  <c r="AB168" i="1"/>
  <c r="Y168" i="1"/>
  <c r="X168" i="1"/>
  <c r="W168" i="1"/>
  <c r="V168" i="1"/>
  <c r="U168" i="1"/>
  <c r="T168" i="1"/>
  <c r="R168" i="1"/>
  <c r="AG154" i="1"/>
  <c r="AF154" i="1"/>
  <c r="AE154" i="1"/>
  <c r="AD154" i="1"/>
  <c r="AC154" i="1"/>
  <c r="AB154" i="1"/>
  <c r="Y154" i="1"/>
  <c r="X154" i="1"/>
  <c r="W154" i="1"/>
  <c r="V154" i="1"/>
  <c r="U154" i="1"/>
  <c r="T154" i="1"/>
  <c r="AG153" i="1"/>
  <c r="AF153" i="1"/>
  <c r="AE153" i="1"/>
  <c r="AD153" i="1"/>
  <c r="AC153" i="1"/>
  <c r="AB153" i="1"/>
  <c r="Y153" i="1"/>
  <c r="X153" i="1"/>
  <c r="W153" i="1"/>
  <c r="V153" i="1"/>
  <c r="U153" i="1"/>
  <c r="T153" i="1"/>
  <c r="AG139" i="1"/>
  <c r="AF139" i="1"/>
  <c r="AE139" i="1"/>
  <c r="AD139" i="1"/>
  <c r="AC139" i="1"/>
  <c r="AB139" i="1"/>
  <c r="AH139" i="1" s="1"/>
  <c r="Y139" i="1"/>
  <c r="X139" i="1"/>
  <c r="W139" i="1"/>
  <c r="V139" i="1"/>
  <c r="U139" i="1"/>
  <c r="R139" i="1" s="1"/>
  <c r="T139" i="1"/>
  <c r="AG136" i="1"/>
  <c r="AF136" i="1"/>
  <c r="AE136" i="1"/>
  <c r="AD136" i="1"/>
  <c r="AC136" i="1"/>
  <c r="AH136" i="1" s="1"/>
  <c r="AB136" i="1"/>
  <c r="Y136" i="1"/>
  <c r="X136" i="1"/>
  <c r="W136" i="1"/>
  <c r="V136" i="1"/>
  <c r="U136" i="1"/>
  <c r="T136" i="1"/>
  <c r="R136" i="1"/>
  <c r="AG92" i="1"/>
  <c r="AF92" i="1"/>
  <c r="AE92" i="1"/>
  <c r="AD92" i="1"/>
  <c r="AC92" i="1"/>
  <c r="AB92" i="1"/>
  <c r="AH92" i="1" s="1"/>
  <c r="Y92" i="1"/>
  <c r="X92" i="1"/>
  <c r="W92" i="1"/>
  <c r="V92" i="1"/>
  <c r="U92" i="1"/>
  <c r="R92" i="1" s="1"/>
  <c r="T92" i="1"/>
  <c r="AG86" i="1"/>
  <c r="AF86" i="1"/>
  <c r="AE86" i="1"/>
  <c r="AD86" i="1"/>
  <c r="AC86" i="1"/>
  <c r="AH86" i="1" s="1"/>
  <c r="AB86" i="1"/>
  <c r="Y86" i="1"/>
  <c r="X86" i="1"/>
  <c r="W86" i="1"/>
  <c r="V86" i="1"/>
  <c r="U86" i="1"/>
  <c r="T86" i="1"/>
  <c r="R86" i="1"/>
  <c r="AG79" i="1"/>
  <c r="AF79" i="1"/>
  <c r="AE79" i="1"/>
  <c r="AC79" i="1"/>
  <c r="AB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P77" i="1"/>
  <c r="Q77" i="1" s="1"/>
  <c r="Q79" i="1" s="1"/>
  <c r="R53" i="1"/>
  <c r="R35" i="1"/>
  <c r="H35" i="8" l="1"/>
  <c r="G48" i="8"/>
  <c r="H43" i="8"/>
  <c r="I43" i="8" s="1"/>
  <c r="J43" i="8" s="1"/>
  <c r="K43" i="8" s="1"/>
  <c r="L43" i="8" s="1"/>
  <c r="M43" i="8" s="1"/>
  <c r="N43" i="8" s="1"/>
  <c r="O43" i="8" s="1"/>
  <c r="P43" i="8" s="1"/>
  <c r="Q43" i="8" s="1"/>
  <c r="R43" i="8" s="1"/>
  <c r="S43" i="8" s="1"/>
  <c r="G43" i="9" s="1"/>
  <c r="H47" i="8"/>
  <c r="I47" i="8" s="1"/>
  <c r="J47" i="8" s="1"/>
  <c r="K47" i="8" s="1"/>
  <c r="L47" i="8" s="1"/>
  <c r="M47" i="8" s="1"/>
  <c r="N47" i="8" s="1"/>
  <c r="O47" i="8" s="1"/>
  <c r="P47" i="8" s="1"/>
  <c r="Q47" i="8" s="1"/>
  <c r="R47" i="8" s="1"/>
  <c r="S47" i="8" s="1"/>
  <c r="G47" i="9" s="1"/>
  <c r="T47" i="8"/>
  <c r="H36" i="8"/>
  <c r="I36" i="8" s="1"/>
  <c r="J36" i="8" s="1"/>
  <c r="K36" i="8" s="1"/>
  <c r="L36" i="8" s="1"/>
  <c r="M36" i="8" s="1"/>
  <c r="N36" i="8" s="1"/>
  <c r="O36" i="8" s="1"/>
  <c r="P36" i="8" s="1"/>
  <c r="Q36" i="8" s="1"/>
  <c r="R36" i="8" s="1"/>
  <c r="S36" i="8" s="1"/>
  <c r="G36" i="9" s="1"/>
  <c r="H40" i="8"/>
  <c r="I40" i="8" s="1"/>
  <c r="J40" i="8" s="1"/>
  <c r="K40" i="8" s="1"/>
  <c r="L40" i="8" s="1"/>
  <c r="M40" i="8" s="1"/>
  <c r="N40" i="8" s="1"/>
  <c r="O40" i="8" s="1"/>
  <c r="P40" i="8" s="1"/>
  <c r="Q40" i="8" s="1"/>
  <c r="R40" i="8" s="1"/>
  <c r="S40" i="8" s="1"/>
  <c r="G40" i="9" s="1"/>
  <c r="T80" i="8"/>
  <c r="H39" i="8"/>
  <c r="I39" i="8" s="1"/>
  <c r="J39" i="8" s="1"/>
  <c r="K39" i="8" s="1"/>
  <c r="L39" i="8" s="1"/>
  <c r="M39" i="8" s="1"/>
  <c r="N39" i="8" s="1"/>
  <c r="O39" i="8" s="1"/>
  <c r="P39" i="8" s="1"/>
  <c r="Q39" i="8" s="1"/>
  <c r="R39" i="8" s="1"/>
  <c r="S39" i="8" s="1"/>
  <c r="G39" i="9" s="1"/>
  <c r="H37" i="8"/>
  <c r="I37" i="8" s="1"/>
  <c r="J37" i="8" s="1"/>
  <c r="K37" i="8" s="1"/>
  <c r="L37" i="8" s="1"/>
  <c r="M37" i="8" s="1"/>
  <c r="N37" i="8" s="1"/>
  <c r="O37" i="8" s="1"/>
  <c r="P37" i="8" s="1"/>
  <c r="Q37" i="8" s="1"/>
  <c r="R37" i="8" s="1"/>
  <c r="S37" i="8" s="1"/>
  <c r="G37" i="9" s="1"/>
  <c r="H41" i="8"/>
  <c r="I41" i="8" s="1"/>
  <c r="J41" i="8" s="1"/>
  <c r="K41" i="8" s="1"/>
  <c r="L41" i="8" s="1"/>
  <c r="M41" i="8" s="1"/>
  <c r="N41" i="8" s="1"/>
  <c r="O41" i="8" s="1"/>
  <c r="P41" i="8" s="1"/>
  <c r="Q41" i="8" s="1"/>
  <c r="R41" i="8" s="1"/>
  <c r="S41" i="8" s="1"/>
  <c r="G41" i="9" s="1"/>
  <c r="H45" i="8"/>
  <c r="I45" i="8" s="1"/>
  <c r="J45" i="8" s="1"/>
  <c r="K45" i="8" s="1"/>
  <c r="L45" i="8" s="1"/>
  <c r="M45" i="8" s="1"/>
  <c r="N45" i="8" s="1"/>
  <c r="O45" i="8" s="1"/>
  <c r="P45" i="8" s="1"/>
  <c r="Q45" i="8" s="1"/>
  <c r="R45" i="8" s="1"/>
  <c r="S45" i="8" s="1"/>
  <c r="G45" i="9" s="1"/>
  <c r="H38" i="8"/>
  <c r="I38" i="8" s="1"/>
  <c r="J38" i="8" s="1"/>
  <c r="K38" i="8" s="1"/>
  <c r="L38" i="8" s="1"/>
  <c r="M38" i="8" s="1"/>
  <c r="N38" i="8" s="1"/>
  <c r="O38" i="8" s="1"/>
  <c r="P38" i="8" s="1"/>
  <c r="Q38" i="8" s="1"/>
  <c r="R38" i="8" s="1"/>
  <c r="S38" i="8" s="1"/>
  <c r="G38" i="9" s="1"/>
  <c r="H42" i="8"/>
  <c r="I42" i="8" s="1"/>
  <c r="J42" i="8" s="1"/>
  <c r="K42" i="8" s="1"/>
  <c r="L42" i="8" s="1"/>
  <c r="M42" i="8" s="1"/>
  <c r="N42" i="8" s="1"/>
  <c r="O42" i="8" s="1"/>
  <c r="P42" i="8" s="1"/>
  <c r="Q42" i="8" s="1"/>
  <c r="R42" i="8" s="1"/>
  <c r="S42" i="8" s="1"/>
  <c r="G42" i="9" s="1"/>
  <c r="H46" i="8"/>
  <c r="I46" i="8" s="1"/>
  <c r="J46" i="8" s="1"/>
  <c r="K46" i="8" s="1"/>
  <c r="L46" i="8" s="1"/>
  <c r="M46" i="8" s="1"/>
  <c r="N46" i="8" s="1"/>
  <c r="O46" i="8" s="1"/>
  <c r="P46" i="8" s="1"/>
  <c r="Q46" i="8" s="1"/>
  <c r="R46" i="8" s="1"/>
  <c r="S46" i="8" s="1"/>
  <c r="G46" i="9" s="1"/>
  <c r="T107" i="9"/>
  <c r="T79" i="6"/>
  <c r="T272" i="6" s="1"/>
  <c r="W79" i="6"/>
  <c r="W272" i="6" s="1"/>
  <c r="X79" i="6"/>
  <c r="X272" i="6" s="1"/>
  <c r="T86" i="9"/>
  <c r="T68" i="9"/>
  <c r="T62" i="9"/>
  <c r="V79" i="6"/>
  <c r="V272" i="6" s="1"/>
  <c r="T98" i="8"/>
  <c r="U79" i="6"/>
  <c r="U272" i="6" s="1"/>
  <c r="Y79" i="6"/>
  <c r="Y272" i="6" s="1"/>
  <c r="AH172" i="1"/>
  <c r="AE269" i="1"/>
  <c r="AF269" i="1"/>
  <c r="AH168" i="1"/>
  <c r="AC269" i="1"/>
  <c r="AG269" i="1"/>
  <c r="AH171" i="1"/>
  <c r="AH170" i="1"/>
  <c r="AH173" i="1"/>
  <c r="U20" i="13"/>
  <c r="S20" i="13"/>
  <c r="W20" i="13"/>
  <c r="R20" i="13"/>
  <c r="T20" i="13"/>
  <c r="V20" i="13"/>
  <c r="AE54" i="13"/>
  <c r="AA54" i="13"/>
  <c r="AD54" i="13"/>
  <c r="AC54" i="13"/>
  <c r="AB54" i="13"/>
  <c r="Z54" i="13"/>
  <c r="W37" i="13"/>
  <c r="S37" i="13"/>
  <c r="V37" i="13"/>
  <c r="U37" i="13"/>
  <c r="R37" i="13"/>
  <c r="T37" i="13"/>
  <c r="U20" i="12"/>
  <c r="W20" i="12"/>
  <c r="S20" i="12"/>
  <c r="V20" i="12"/>
  <c r="T20" i="12"/>
  <c r="R20" i="12"/>
  <c r="AE54" i="12"/>
  <c r="AA54" i="12"/>
  <c r="AD54" i="12"/>
  <c r="Z54" i="12"/>
  <c r="AC54" i="12"/>
  <c r="AB54" i="12"/>
  <c r="W37" i="12"/>
  <c r="S37" i="12"/>
  <c r="V37" i="12"/>
  <c r="R37" i="12"/>
  <c r="U37" i="12"/>
  <c r="T37" i="12"/>
  <c r="T71" i="9"/>
  <c r="T107" i="8"/>
  <c r="T89" i="8"/>
  <c r="T62" i="8"/>
  <c r="T115" i="8"/>
  <c r="T71" i="8"/>
  <c r="V10" i="4"/>
  <c r="R6" i="4"/>
  <c r="R16" i="4"/>
  <c r="V11" i="5"/>
  <c r="V35" i="5"/>
  <c r="K70" i="3"/>
  <c r="K71" i="3" s="1"/>
  <c r="D100" i="3"/>
  <c r="V6" i="4"/>
  <c r="T10" i="4"/>
  <c r="V16" i="4"/>
  <c r="V19" i="5"/>
  <c r="U6" i="4"/>
  <c r="H26" i="3"/>
  <c r="H103" i="3" s="1"/>
  <c r="H104" i="3" s="1"/>
  <c r="L26" i="3"/>
  <c r="L58" i="3" s="1"/>
  <c r="L59" i="3" s="1"/>
  <c r="P26" i="3"/>
  <c r="K26" i="3"/>
  <c r="K103" i="3" s="1"/>
  <c r="K104" i="3" s="1"/>
  <c r="O26" i="3"/>
  <c r="O67" i="3" s="1"/>
  <c r="O68" i="3" s="1"/>
  <c r="S26" i="3"/>
  <c r="S76" i="3" s="1"/>
  <c r="S77" i="3" s="1"/>
  <c r="T18" i="3"/>
  <c r="T22" i="3"/>
  <c r="K48" i="3"/>
  <c r="O48" i="3"/>
  <c r="O73" i="3" s="1"/>
  <c r="O74" i="3" s="1"/>
  <c r="S48" i="3"/>
  <c r="S73" i="3" s="1"/>
  <c r="S74" i="3" s="1"/>
  <c r="N48" i="3"/>
  <c r="R48" i="3"/>
  <c r="T39" i="3"/>
  <c r="T43" i="3"/>
  <c r="D115" i="3"/>
  <c r="R10" i="4"/>
  <c r="R19" i="5"/>
  <c r="AD19" i="5"/>
  <c r="D91" i="3"/>
  <c r="S4" i="4"/>
  <c r="S8" i="4"/>
  <c r="S12" i="4"/>
  <c r="S15" i="4"/>
  <c r="I26" i="3"/>
  <c r="I103" i="3" s="1"/>
  <c r="I104" i="3" s="1"/>
  <c r="M26" i="3"/>
  <c r="M103" i="3" s="1"/>
  <c r="M104" i="3" s="1"/>
  <c r="Q26" i="3"/>
  <c r="T24" i="3"/>
  <c r="H48" i="3"/>
  <c r="L48" i="3"/>
  <c r="L73" i="3" s="1"/>
  <c r="L74" i="3" s="1"/>
  <c r="P48" i="3"/>
  <c r="T36" i="3"/>
  <c r="T40" i="3"/>
  <c r="T47" i="3"/>
  <c r="T5" i="4"/>
  <c r="T9" i="4"/>
  <c r="T13" i="4"/>
  <c r="U19" i="5"/>
  <c r="G70" i="3"/>
  <c r="G71" i="3" s="1"/>
  <c r="K88" i="3"/>
  <c r="K89" i="3" s="1"/>
  <c r="S97" i="3"/>
  <c r="S98" i="3" s="1"/>
  <c r="T16" i="3"/>
  <c r="T17" i="3"/>
  <c r="T20" i="3"/>
  <c r="T37" i="3"/>
  <c r="T41" i="3"/>
  <c r="J48" i="3"/>
  <c r="J73" i="3" s="1"/>
  <c r="J74" i="3" s="1"/>
  <c r="S70" i="3"/>
  <c r="S71" i="3" s="1"/>
  <c r="G88" i="3"/>
  <c r="G89" i="3" s="1"/>
  <c r="G97" i="3"/>
  <c r="G98" i="3" s="1"/>
  <c r="Q5" i="4"/>
  <c r="Q9" i="4"/>
  <c r="Q13" i="4"/>
  <c r="H97" i="3"/>
  <c r="H98" i="3" s="1"/>
  <c r="L97" i="3"/>
  <c r="L98" i="3" s="1"/>
  <c r="G10" i="3"/>
  <c r="J26" i="3"/>
  <c r="J85" i="3" s="1"/>
  <c r="J86" i="3" s="1"/>
  <c r="N26" i="3"/>
  <c r="N76" i="3" s="1"/>
  <c r="N77" i="3" s="1"/>
  <c r="R26" i="3"/>
  <c r="T45" i="3"/>
  <c r="T46" i="3"/>
  <c r="R88" i="3"/>
  <c r="R89" i="3" s="1"/>
  <c r="U5" i="4"/>
  <c r="V7" i="4"/>
  <c r="U9" i="4"/>
  <c r="U11" i="4"/>
  <c r="U13" i="4"/>
  <c r="U25" i="5"/>
  <c r="U33" i="5"/>
  <c r="S19" i="5"/>
  <c r="T19" i="5"/>
  <c r="W8" i="5"/>
  <c r="U9" i="5"/>
  <c r="B20" i="5"/>
  <c r="J20" i="5"/>
  <c r="M37" i="5"/>
  <c r="I54" i="5"/>
  <c r="M54" i="5"/>
  <c r="V27" i="5"/>
  <c r="V31" i="5"/>
  <c r="D54" i="5"/>
  <c r="H54" i="5"/>
  <c r="AC34" i="5"/>
  <c r="AD17" i="5"/>
  <c r="AD6" i="5"/>
  <c r="S9" i="5"/>
  <c r="C20" i="5"/>
  <c r="K20" i="5"/>
  <c r="AC17" i="5"/>
  <c r="B37" i="5"/>
  <c r="F37" i="5"/>
  <c r="J37" i="5"/>
  <c r="AC23" i="5"/>
  <c r="E37" i="5"/>
  <c r="T36" i="5"/>
  <c r="T7" i="5"/>
  <c r="W9" i="5"/>
  <c r="U12" i="5"/>
  <c r="V15" i="5"/>
  <c r="T18" i="5"/>
  <c r="U29" i="5"/>
  <c r="C37" i="5"/>
  <c r="G37" i="5"/>
  <c r="K37" i="5"/>
  <c r="Z23" i="5"/>
  <c r="AD23" i="5"/>
  <c r="I37" i="5"/>
  <c r="V8" i="5"/>
  <c r="U13" i="5"/>
  <c r="H37" i="5"/>
  <c r="F54" i="5"/>
  <c r="J54" i="5"/>
  <c r="N54" i="5"/>
  <c r="AA23" i="5"/>
  <c r="AA31" i="5"/>
  <c r="AA27" i="5"/>
  <c r="AA30" i="5"/>
  <c r="AA26" i="5"/>
  <c r="AA33" i="5"/>
  <c r="AA29" i="5"/>
  <c r="AA25" i="5"/>
  <c r="AA15" i="5"/>
  <c r="AA11" i="5"/>
  <c r="AA14" i="5"/>
  <c r="AA10" i="5"/>
  <c r="AA13" i="5"/>
  <c r="AA6" i="5"/>
  <c r="AA49" i="5"/>
  <c r="AA41" i="5"/>
  <c r="AA32" i="5"/>
  <c r="AA18" i="5"/>
  <c r="AA16" i="5"/>
  <c r="AA7" i="5"/>
  <c r="AA50" i="5"/>
  <c r="AA45" i="5"/>
  <c r="AA42" i="5"/>
  <c r="AA9" i="5"/>
  <c r="AA46" i="5"/>
  <c r="AA36" i="5"/>
  <c r="AA28" i="5"/>
  <c r="AA24" i="5"/>
  <c r="AA35" i="5"/>
  <c r="AA8" i="5"/>
  <c r="AA12" i="5"/>
  <c r="Z35" i="5"/>
  <c r="Z32" i="5"/>
  <c r="Z28" i="5"/>
  <c r="Z24" i="5"/>
  <c r="Z31" i="5"/>
  <c r="Z27" i="5"/>
  <c r="Z36" i="5"/>
  <c r="Z16" i="5"/>
  <c r="Z12" i="5"/>
  <c r="Z33" i="5"/>
  <c r="Z30" i="5"/>
  <c r="Z29" i="5"/>
  <c r="Z26" i="5"/>
  <c r="Z25" i="5"/>
  <c r="Z15" i="5"/>
  <c r="Z11" i="5"/>
  <c r="Z8" i="5"/>
  <c r="T10" i="5"/>
  <c r="AD10" i="5"/>
  <c r="T16" i="5"/>
  <c r="W16" i="5"/>
  <c r="S16" i="5"/>
  <c r="AE3" i="5"/>
  <c r="AC6" i="5"/>
  <c r="R7" i="5"/>
  <c r="V7" i="5"/>
  <c r="U8" i="5"/>
  <c r="T9" i="5"/>
  <c r="Z9" i="5"/>
  <c r="W10" i="5"/>
  <c r="U11" i="5"/>
  <c r="W11" i="5"/>
  <c r="R12" i="5"/>
  <c r="W14" i="5"/>
  <c r="U15" i="5"/>
  <c r="W15" i="5"/>
  <c r="R16" i="5"/>
  <c r="AD18" i="5"/>
  <c r="AD25" i="5"/>
  <c r="W26" i="5"/>
  <c r="W27" i="5"/>
  <c r="AD29" i="5"/>
  <c r="W30" i="5"/>
  <c r="W31" i="5"/>
  <c r="AD33" i="5"/>
  <c r="D37" i="5"/>
  <c r="L37" i="5"/>
  <c r="AD36" i="5"/>
  <c r="AD42" i="5"/>
  <c r="AD44" i="5"/>
  <c r="Z45" i="5"/>
  <c r="AA47" i="5"/>
  <c r="AD47" i="5"/>
  <c r="Z47" i="5"/>
  <c r="AC47" i="5"/>
  <c r="AC48" i="5"/>
  <c r="AD50" i="5"/>
  <c r="U7" i="5"/>
  <c r="T8" i="5"/>
  <c r="AD8" i="5"/>
  <c r="AD9" i="5"/>
  <c r="T13" i="5"/>
  <c r="T14" i="5"/>
  <c r="AD14" i="5"/>
  <c r="W18" i="5"/>
  <c r="S18" i="5"/>
  <c r="V18" i="5"/>
  <c r="R18" i="5"/>
  <c r="T26" i="5"/>
  <c r="Z53" i="5"/>
  <c r="R30" i="5"/>
  <c r="R26" i="5"/>
  <c r="R14" i="5"/>
  <c r="R10" i="5"/>
  <c r="R31" i="5"/>
  <c r="R27" i="5"/>
  <c r="V30" i="5"/>
  <c r="V14" i="5"/>
  <c r="AB3" i="5"/>
  <c r="Z6" i="5"/>
  <c r="S7" i="5"/>
  <c r="W7" i="5"/>
  <c r="AC7" i="5"/>
  <c r="R8" i="5"/>
  <c r="V10" i="5"/>
  <c r="Z10" i="5"/>
  <c r="R11" i="5"/>
  <c r="Z13" i="5"/>
  <c r="U14" i="5"/>
  <c r="Z14" i="5"/>
  <c r="R15" i="5"/>
  <c r="U16" i="5"/>
  <c r="E20" i="5"/>
  <c r="I20" i="5"/>
  <c r="M20" i="5"/>
  <c r="U18" i="5"/>
  <c r="T24" i="5"/>
  <c r="O23" i="5"/>
  <c r="W24" i="5"/>
  <c r="S24" i="5"/>
  <c r="V24" i="5"/>
  <c r="U24" i="5"/>
  <c r="AD26" i="5"/>
  <c r="T28" i="5"/>
  <c r="W28" i="5"/>
  <c r="S28" i="5"/>
  <c r="V28" i="5"/>
  <c r="U28" i="5"/>
  <c r="T32" i="5"/>
  <c r="W32" i="5"/>
  <c r="S32" i="5"/>
  <c r="V32" i="5"/>
  <c r="U32" i="5"/>
  <c r="W36" i="5"/>
  <c r="S36" i="5"/>
  <c r="V36" i="5"/>
  <c r="R36" i="5"/>
  <c r="U36" i="5"/>
  <c r="Z44" i="5"/>
  <c r="AA52" i="5"/>
  <c r="AD52" i="5"/>
  <c r="Z52" i="5"/>
  <c r="AC52" i="5"/>
  <c r="AD35" i="5"/>
  <c r="AD32" i="5"/>
  <c r="AD28" i="5"/>
  <c r="AD24" i="5"/>
  <c r="AD31" i="5"/>
  <c r="AD27" i="5"/>
  <c r="AD16" i="5"/>
  <c r="AD12" i="5"/>
  <c r="AD49" i="5"/>
  <c r="AD45" i="5"/>
  <c r="AD41" i="5"/>
  <c r="AD15" i="5"/>
  <c r="AD11" i="5"/>
  <c r="T12" i="5"/>
  <c r="W12" i="5"/>
  <c r="S12" i="5"/>
  <c r="AD13" i="5"/>
  <c r="T30" i="5"/>
  <c r="Z48" i="5"/>
  <c r="S31" i="5"/>
  <c r="S30" i="5"/>
  <c r="S27" i="5"/>
  <c r="S26" i="5"/>
  <c r="AC36" i="5"/>
  <c r="AC33" i="5"/>
  <c r="AC29" i="5"/>
  <c r="AC25" i="5"/>
  <c r="AC35" i="5"/>
  <c r="AC32" i="5"/>
  <c r="AC28" i="5"/>
  <c r="AC24" i="5"/>
  <c r="AC31" i="5"/>
  <c r="AC30" i="5"/>
  <c r="AC27" i="5"/>
  <c r="AC26" i="5"/>
  <c r="AC18" i="5"/>
  <c r="AC13" i="5"/>
  <c r="AC16" i="5"/>
  <c r="AC12" i="5"/>
  <c r="O6" i="5"/>
  <c r="Z7" i="5"/>
  <c r="AD7" i="5"/>
  <c r="S8" i="5"/>
  <c r="AC8" i="5"/>
  <c r="R9" i="5"/>
  <c r="V9" i="5"/>
  <c r="AC9" i="5"/>
  <c r="S10" i="5"/>
  <c r="AC10" i="5"/>
  <c r="S11" i="5"/>
  <c r="AC11" i="5"/>
  <c r="V12" i="5"/>
  <c r="W13" i="5"/>
  <c r="S13" i="5"/>
  <c r="V13" i="5"/>
  <c r="R13" i="5"/>
  <c r="S14" i="5"/>
  <c r="AC14" i="5"/>
  <c r="S15" i="5"/>
  <c r="AC15" i="5"/>
  <c r="V16" i="5"/>
  <c r="F20" i="5"/>
  <c r="N20" i="5"/>
  <c r="AE17" i="5"/>
  <c r="AA17" i="5"/>
  <c r="Z17" i="5"/>
  <c r="Z18" i="5"/>
  <c r="R24" i="5"/>
  <c r="T25" i="5"/>
  <c r="U27" i="5"/>
  <c r="R28" i="5"/>
  <c r="T29" i="5"/>
  <c r="U31" i="5"/>
  <c r="R32" i="5"/>
  <c r="T33" i="5"/>
  <c r="T35" i="5"/>
  <c r="O34" i="5"/>
  <c r="W35" i="5"/>
  <c r="S35" i="5"/>
  <c r="U35" i="5"/>
  <c r="R35" i="5"/>
  <c r="Z41" i="5"/>
  <c r="AA43" i="5"/>
  <c r="AD43" i="5"/>
  <c r="Z43" i="5"/>
  <c r="O40" i="5"/>
  <c r="O54" i="5" s="1"/>
  <c r="AC43" i="5"/>
  <c r="AC44" i="5"/>
  <c r="AD46" i="5"/>
  <c r="AD48" i="5"/>
  <c r="Z49" i="5"/>
  <c r="AD51" i="5"/>
  <c r="Z51" i="5"/>
  <c r="AC51" i="5"/>
  <c r="AA51" i="5"/>
  <c r="AA53" i="5"/>
  <c r="AD53" i="5"/>
  <c r="AC53" i="5"/>
  <c r="U10" i="5"/>
  <c r="T11" i="5"/>
  <c r="T15" i="5"/>
  <c r="O17" i="5"/>
  <c r="V26" i="5"/>
  <c r="U30" i="5"/>
  <c r="D20" i="5"/>
  <c r="H20" i="5"/>
  <c r="L20" i="5"/>
  <c r="W25" i="5"/>
  <c r="S25" i="5"/>
  <c r="V25" i="5"/>
  <c r="R25" i="5"/>
  <c r="W29" i="5"/>
  <c r="S29" i="5"/>
  <c r="V29" i="5"/>
  <c r="R29" i="5"/>
  <c r="W33" i="5"/>
  <c r="S33" i="5"/>
  <c r="V33" i="5"/>
  <c r="R33" i="5"/>
  <c r="AC41" i="5"/>
  <c r="AA44" i="5"/>
  <c r="AC45" i="5"/>
  <c r="AA48" i="5"/>
  <c r="AC49" i="5"/>
  <c r="U26" i="5"/>
  <c r="T27" i="5"/>
  <c r="T31" i="5"/>
  <c r="Z34" i="5"/>
  <c r="AD34" i="5"/>
  <c r="N37" i="5"/>
  <c r="AC42" i="5"/>
  <c r="AC46" i="5"/>
  <c r="AC50" i="5"/>
  <c r="AA34" i="5"/>
  <c r="Z42" i="5"/>
  <c r="Z46" i="5"/>
  <c r="Z50" i="5"/>
  <c r="T8" i="4"/>
  <c r="S11" i="4"/>
  <c r="Q4" i="4"/>
  <c r="U4" i="4"/>
  <c r="R5" i="4"/>
  <c r="V5" i="4"/>
  <c r="S6" i="4"/>
  <c r="T7" i="4"/>
  <c r="Q8" i="4"/>
  <c r="U8" i="4"/>
  <c r="R9" i="4"/>
  <c r="V9" i="4"/>
  <c r="S10" i="4"/>
  <c r="T11" i="4"/>
  <c r="Q12" i="4"/>
  <c r="U12" i="4"/>
  <c r="R13" i="4"/>
  <c r="V13" i="4"/>
  <c r="T14" i="4"/>
  <c r="Q15" i="4"/>
  <c r="U15" i="4"/>
  <c r="S16" i="4"/>
  <c r="N17" i="4"/>
  <c r="S14" i="4"/>
  <c r="R4" i="4"/>
  <c r="V4" i="4"/>
  <c r="S5" i="4"/>
  <c r="T6" i="4"/>
  <c r="Q7" i="4"/>
  <c r="U7" i="4"/>
  <c r="R8" i="4"/>
  <c r="V8" i="4"/>
  <c r="S9" i="4"/>
  <c r="Q11" i="4"/>
  <c r="R12" i="4"/>
  <c r="V12" i="4"/>
  <c r="S13" i="4"/>
  <c r="Q14" i="4"/>
  <c r="U14" i="4"/>
  <c r="R15" i="4"/>
  <c r="V15" i="4"/>
  <c r="T4" i="4"/>
  <c r="T12" i="4"/>
  <c r="T15" i="4"/>
  <c r="Q6" i="4"/>
  <c r="R7" i="4"/>
  <c r="Q10" i="4"/>
  <c r="U10" i="4"/>
  <c r="R11" i="4"/>
  <c r="V11" i="4"/>
  <c r="J100" i="3"/>
  <c r="J101" i="3" s="1"/>
  <c r="J91" i="3"/>
  <c r="J92" i="3" s="1"/>
  <c r="J82" i="3"/>
  <c r="J83" i="3" s="1"/>
  <c r="J64" i="3"/>
  <c r="J65" i="3" s="1"/>
  <c r="J52" i="3"/>
  <c r="J49" i="3"/>
  <c r="J76" i="3"/>
  <c r="J77" i="3" s="1"/>
  <c r="N103" i="3"/>
  <c r="N104" i="3" s="1"/>
  <c r="N58" i="3"/>
  <c r="N59" i="3" s="1"/>
  <c r="R94" i="3"/>
  <c r="R95" i="3" s="1"/>
  <c r="R103" i="3"/>
  <c r="R104" i="3" s="1"/>
  <c r="R58" i="3"/>
  <c r="R59" i="3" s="1"/>
  <c r="R85" i="3"/>
  <c r="R86" i="3" s="1"/>
  <c r="R76" i="3"/>
  <c r="R77" i="3" s="1"/>
  <c r="R67" i="3"/>
  <c r="R68" i="3" s="1"/>
  <c r="M97" i="3"/>
  <c r="M98" i="3" s="1"/>
  <c r="M88" i="3"/>
  <c r="M89" i="3" s="1"/>
  <c r="M70" i="3"/>
  <c r="M71" i="3" s="1"/>
  <c r="M10" i="3"/>
  <c r="P85" i="3"/>
  <c r="P86" i="3" s="1"/>
  <c r="P94" i="3"/>
  <c r="P95" i="3" s="1"/>
  <c r="P67" i="3"/>
  <c r="P68" i="3" s="1"/>
  <c r="P103" i="3"/>
  <c r="P104" i="3" s="1"/>
  <c r="K49" i="3"/>
  <c r="S100" i="3"/>
  <c r="S101" i="3" s="1"/>
  <c r="S52" i="3"/>
  <c r="S49" i="3"/>
  <c r="P76" i="3"/>
  <c r="P77" i="3" s="1"/>
  <c r="M76" i="3"/>
  <c r="M77" i="3" s="1"/>
  <c r="K58" i="3"/>
  <c r="K59" i="3" s="1"/>
  <c r="S103" i="3"/>
  <c r="S104" i="3" s="1"/>
  <c r="S85" i="3"/>
  <c r="S86" i="3" s="1"/>
  <c r="T23" i="3"/>
  <c r="L82" i="3"/>
  <c r="L83" i="3" s="1"/>
  <c r="P64" i="3"/>
  <c r="P65" i="3" s="1"/>
  <c r="P100" i="3"/>
  <c r="P101" i="3" s="1"/>
  <c r="P91" i="3"/>
  <c r="P92" i="3" s="1"/>
  <c r="I97" i="3"/>
  <c r="I98" i="3" s="1"/>
  <c r="I88" i="3"/>
  <c r="I89" i="3" s="1"/>
  <c r="I70" i="3"/>
  <c r="I71" i="3" s="1"/>
  <c r="I10" i="3"/>
  <c r="Q97" i="3"/>
  <c r="Q98" i="3" s="1"/>
  <c r="Q88" i="3"/>
  <c r="Q89" i="3" s="1"/>
  <c r="Q70" i="3"/>
  <c r="Q71" i="3" s="1"/>
  <c r="Q10" i="3"/>
  <c r="Q30" i="3" s="1"/>
  <c r="L103" i="3"/>
  <c r="L104" i="3" s="1"/>
  <c r="T14" i="3"/>
  <c r="G48" i="3"/>
  <c r="G73" i="3" s="1"/>
  <c r="G74" i="3" s="1"/>
  <c r="T35" i="3"/>
  <c r="O52" i="3"/>
  <c r="N91" i="3"/>
  <c r="N92" i="3" s="1"/>
  <c r="N100" i="3"/>
  <c r="N101" i="3" s="1"/>
  <c r="S64" i="3"/>
  <c r="S65" i="3" s="1"/>
  <c r="Q103" i="3"/>
  <c r="Q104" i="3" s="1"/>
  <c r="Q94" i="3"/>
  <c r="Q95" i="3" s="1"/>
  <c r="Q85" i="3"/>
  <c r="Q86" i="3" s="1"/>
  <c r="Q76" i="3"/>
  <c r="Q77" i="3" s="1"/>
  <c r="Q67" i="3"/>
  <c r="Q68" i="3" s="1"/>
  <c r="Q58" i="3"/>
  <c r="Q59" i="3" s="1"/>
  <c r="T15" i="3"/>
  <c r="T21" i="3"/>
  <c r="I48" i="3"/>
  <c r="I73" i="3" s="1"/>
  <c r="I74" i="3" s="1"/>
  <c r="M48" i="3"/>
  <c r="M73" i="3" s="1"/>
  <c r="M74" i="3" s="1"/>
  <c r="Q48" i="3"/>
  <c r="Q73" i="3" s="1"/>
  <c r="Q74" i="3" s="1"/>
  <c r="P52" i="3"/>
  <c r="R57" i="3"/>
  <c r="P58" i="3"/>
  <c r="P59" i="3" s="1"/>
  <c r="T19" i="3"/>
  <c r="P30" i="3"/>
  <c r="T29" i="3"/>
  <c r="T38" i="3"/>
  <c r="T42" i="3"/>
  <c r="L64" i="3"/>
  <c r="L65" i="3" s="1"/>
  <c r="N82" i="3"/>
  <c r="N83" i="3" s="1"/>
  <c r="D79" i="3"/>
  <c r="J79" i="3" s="1"/>
  <c r="J80" i="3" s="1"/>
  <c r="N88" i="3"/>
  <c r="N89" i="3" s="1"/>
  <c r="G26" i="3"/>
  <c r="N70" i="3"/>
  <c r="N71" i="3" s="1"/>
  <c r="D109" i="3"/>
  <c r="D106" i="3"/>
  <c r="M106" i="3" s="1"/>
  <c r="M107" i="3" s="1"/>
  <c r="O88" i="3"/>
  <c r="O89" i="3" s="1"/>
  <c r="O97" i="3"/>
  <c r="O98" i="3" s="1"/>
  <c r="D61" i="3"/>
  <c r="R61" i="3" s="1"/>
  <c r="R62" i="3" s="1"/>
  <c r="O70" i="3"/>
  <c r="O71" i="3" s="1"/>
  <c r="L88" i="3"/>
  <c r="L89" i="3" s="1"/>
  <c r="J88" i="3"/>
  <c r="J89" i="3" s="1"/>
  <c r="J97" i="3"/>
  <c r="J98" i="3" s="1"/>
  <c r="K97" i="3"/>
  <c r="K98" i="3" s="1"/>
  <c r="S88" i="3"/>
  <c r="S89" i="3" s="1"/>
  <c r="H88" i="3"/>
  <c r="H89" i="3" s="1"/>
  <c r="H70" i="3"/>
  <c r="H71" i="3" s="1"/>
  <c r="L70" i="3"/>
  <c r="L71" i="3" s="1"/>
  <c r="P97" i="3"/>
  <c r="P98" i="3" s="1"/>
  <c r="P70" i="3"/>
  <c r="P71" i="3" s="1"/>
  <c r="T8" i="3"/>
  <c r="T10" i="3" s="1"/>
  <c r="J10" i="3"/>
  <c r="N10" i="3"/>
  <c r="R10" i="3"/>
  <c r="R30" i="3" s="1"/>
  <c r="J70" i="3"/>
  <c r="J71" i="3" s="1"/>
  <c r="R70" i="3"/>
  <c r="R71" i="3" s="1"/>
  <c r="P88" i="3"/>
  <c r="P89" i="3" s="1"/>
  <c r="N97" i="3"/>
  <c r="N98" i="3" s="1"/>
  <c r="X79" i="1"/>
  <c r="X269" i="1" s="1"/>
  <c r="T79" i="1"/>
  <c r="T269" i="1" s="1"/>
  <c r="V79" i="1"/>
  <c r="V269" i="1" s="1"/>
  <c r="W79" i="1"/>
  <c r="W269" i="1" s="1"/>
  <c r="Y79" i="1"/>
  <c r="U79" i="1"/>
  <c r="Y269" i="1"/>
  <c r="U269" i="1"/>
  <c r="AB269" i="1"/>
  <c r="AD79" i="1"/>
  <c r="AD269" i="1" s="1"/>
  <c r="S79" i="3" l="1"/>
  <c r="S80" i="3" s="1"/>
  <c r="H42" i="9"/>
  <c r="I42" i="9" s="1"/>
  <c r="J42" i="9" s="1"/>
  <c r="K42" i="9" s="1"/>
  <c r="L42" i="9" s="1"/>
  <c r="M42" i="9" s="1"/>
  <c r="N42" i="9" s="1"/>
  <c r="O42" i="9" s="1"/>
  <c r="P42" i="9" s="1"/>
  <c r="Q42" i="9" s="1"/>
  <c r="R42" i="9" s="1"/>
  <c r="S42" i="9" s="1"/>
  <c r="H45" i="9"/>
  <c r="I45" i="9" s="1"/>
  <c r="J45" i="9" s="1"/>
  <c r="K45" i="9" s="1"/>
  <c r="L45" i="9" s="1"/>
  <c r="M45" i="9" s="1"/>
  <c r="N45" i="9" s="1"/>
  <c r="O45" i="9" s="1"/>
  <c r="P45" i="9" s="1"/>
  <c r="Q45" i="9" s="1"/>
  <c r="R45" i="9" s="1"/>
  <c r="S45" i="9" s="1"/>
  <c r="H37" i="9"/>
  <c r="I37" i="9" s="1"/>
  <c r="J37" i="9" s="1"/>
  <c r="K37" i="9" s="1"/>
  <c r="L37" i="9" s="1"/>
  <c r="M37" i="9" s="1"/>
  <c r="N37" i="9" s="1"/>
  <c r="O37" i="9" s="1"/>
  <c r="P37" i="9" s="1"/>
  <c r="Q37" i="9" s="1"/>
  <c r="R37" i="9" s="1"/>
  <c r="S37" i="9" s="1"/>
  <c r="H36" i="9"/>
  <c r="I36" i="9" s="1"/>
  <c r="J36" i="9" s="1"/>
  <c r="K36" i="9" s="1"/>
  <c r="L36" i="9" s="1"/>
  <c r="M36" i="9" s="1"/>
  <c r="N36" i="9" s="1"/>
  <c r="O36" i="9" s="1"/>
  <c r="P36" i="9" s="1"/>
  <c r="Q36" i="9" s="1"/>
  <c r="R36" i="9" s="1"/>
  <c r="S36" i="9" s="1"/>
  <c r="H43" i="9"/>
  <c r="I43" i="9" s="1"/>
  <c r="J43" i="9" s="1"/>
  <c r="K43" i="9" s="1"/>
  <c r="L43" i="9" s="1"/>
  <c r="M43" i="9" s="1"/>
  <c r="N43" i="9" s="1"/>
  <c r="O43" i="9" s="1"/>
  <c r="P43" i="9" s="1"/>
  <c r="Q43" i="9" s="1"/>
  <c r="R43" i="9" s="1"/>
  <c r="S43" i="9" s="1"/>
  <c r="T46" i="8"/>
  <c r="T38" i="8"/>
  <c r="T41" i="8"/>
  <c r="T39" i="8"/>
  <c r="T40" i="8"/>
  <c r="C38" i="6"/>
  <c r="G100" i="8"/>
  <c r="G101" i="8" s="1"/>
  <c r="G64" i="8"/>
  <c r="G65" i="8" s="1"/>
  <c r="G91" i="8"/>
  <c r="G92" i="8" s="1"/>
  <c r="G52" i="8"/>
  <c r="G73" i="8"/>
  <c r="G74" i="8" s="1"/>
  <c r="G82" i="8"/>
  <c r="G83" i="8" s="1"/>
  <c r="G49" i="8"/>
  <c r="G109" i="8"/>
  <c r="G110" i="8" s="1"/>
  <c r="H46" i="9"/>
  <c r="I46" i="9" s="1"/>
  <c r="J46" i="9" s="1"/>
  <c r="K46" i="9" s="1"/>
  <c r="L46" i="9" s="1"/>
  <c r="M46" i="9" s="1"/>
  <c r="N46" i="9" s="1"/>
  <c r="O46" i="9" s="1"/>
  <c r="P46" i="9" s="1"/>
  <c r="Q46" i="9" s="1"/>
  <c r="R46" i="9" s="1"/>
  <c r="S46" i="9" s="1"/>
  <c r="H38" i="9"/>
  <c r="I38" i="9" s="1"/>
  <c r="J38" i="9" s="1"/>
  <c r="K38" i="9" s="1"/>
  <c r="L38" i="9" s="1"/>
  <c r="M38" i="9" s="1"/>
  <c r="N38" i="9" s="1"/>
  <c r="O38" i="9" s="1"/>
  <c r="P38" i="9" s="1"/>
  <c r="Q38" i="9" s="1"/>
  <c r="R38" i="9" s="1"/>
  <c r="S38" i="9" s="1"/>
  <c r="H41" i="9"/>
  <c r="I41" i="9" s="1"/>
  <c r="J41" i="9" s="1"/>
  <c r="K41" i="9" s="1"/>
  <c r="L41" i="9" s="1"/>
  <c r="M41" i="9" s="1"/>
  <c r="N41" i="9" s="1"/>
  <c r="O41" i="9" s="1"/>
  <c r="P41" i="9" s="1"/>
  <c r="Q41" i="9" s="1"/>
  <c r="R41" i="9" s="1"/>
  <c r="S41" i="9" s="1"/>
  <c r="H39" i="9"/>
  <c r="I39" i="9" s="1"/>
  <c r="J39" i="9" s="1"/>
  <c r="K39" i="9" s="1"/>
  <c r="L39" i="9" s="1"/>
  <c r="M39" i="9" s="1"/>
  <c r="N39" i="9" s="1"/>
  <c r="O39" i="9" s="1"/>
  <c r="P39" i="9" s="1"/>
  <c r="Q39" i="9" s="1"/>
  <c r="R39" i="9" s="1"/>
  <c r="S39" i="9" s="1"/>
  <c r="H40" i="9"/>
  <c r="I40" i="9" s="1"/>
  <c r="J40" i="9" s="1"/>
  <c r="K40" i="9" s="1"/>
  <c r="L40" i="9" s="1"/>
  <c r="M40" i="9" s="1"/>
  <c r="N40" i="9" s="1"/>
  <c r="O40" i="9" s="1"/>
  <c r="P40" i="9" s="1"/>
  <c r="Q40" i="9" s="1"/>
  <c r="R40" i="9" s="1"/>
  <c r="S40" i="9" s="1"/>
  <c r="H47" i="9"/>
  <c r="I47" i="9" s="1"/>
  <c r="J47" i="9" s="1"/>
  <c r="K47" i="9" s="1"/>
  <c r="L47" i="9" s="1"/>
  <c r="M47" i="9" s="1"/>
  <c r="N47" i="9" s="1"/>
  <c r="O47" i="9" s="1"/>
  <c r="P47" i="9" s="1"/>
  <c r="Q47" i="9" s="1"/>
  <c r="R47" i="9" s="1"/>
  <c r="S47" i="9" s="1"/>
  <c r="T115" i="9"/>
  <c r="T42" i="8"/>
  <c r="T45" i="8"/>
  <c r="T37" i="8"/>
  <c r="T36" i="8"/>
  <c r="T43" i="8"/>
  <c r="I35" i="8"/>
  <c r="H48" i="8"/>
  <c r="L49" i="3"/>
  <c r="O100" i="3"/>
  <c r="O101" i="3" s="1"/>
  <c r="S94" i="3"/>
  <c r="S95" i="3" s="1"/>
  <c r="M30" i="3"/>
  <c r="T116" i="8"/>
  <c r="L30" i="3"/>
  <c r="O64" i="3"/>
  <c r="O65" i="3" s="1"/>
  <c r="L85" i="3"/>
  <c r="L86" i="3" s="1"/>
  <c r="L52" i="3"/>
  <c r="L100" i="3"/>
  <c r="L101" i="3" s="1"/>
  <c r="S30" i="3"/>
  <c r="S58" i="3"/>
  <c r="S59" i="3" s="1"/>
  <c r="M58" i="3"/>
  <c r="M59" i="3" s="1"/>
  <c r="M94" i="3"/>
  <c r="M95" i="3" s="1"/>
  <c r="N67" i="3"/>
  <c r="N68" i="3" s="1"/>
  <c r="R91" i="3"/>
  <c r="R92" i="3" s="1"/>
  <c r="T116" i="9"/>
  <c r="L76" i="3"/>
  <c r="L77" i="3" s="1"/>
  <c r="L94" i="3"/>
  <c r="L95" i="3" s="1"/>
  <c r="M85" i="3"/>
  <c r="M86" i="3" s="1"/>
  <c r="N94" i="3"/>
  <c r="N95" i="3" s="1"/>
  <c r="N30" i="3"/>
  <c r="H30" i="3"/>
  <c r="O49" i="3"/>
  <c r="L67" i="3"/>
  <c r="L68" i="3" s="1"/>
  <c r="L91" i="3"/>
  <c r="L92" i="3" s="1"/>
  <c r="S67" i="3"/>
  <c r="S68" i="3" s="1"/>
  <c r="M67" i="3"/>
  <c r="M68" i="3" s="1"/>
  <c r="N85" i="3"/>
  <c r="N86" i="3" s="1"/>
  <c r="R79" i="6"/>
  <c r="N52" i="3"/>
  <c r="N73" i="3"/>
  <c r="N74" i="3" s="1"/>
  <c r="G61" i="3"/>
  <c r="G62" i="3" s="1"/>
  <c r="N64" i="3"/>
  <c r="N65" i="3" s="1"/>
  <c r="O91" i="3"/>
  <c r="O92" i="3" s="1"/>
  <c r="K94" i="3"/>
  <c r="K95" i="3" s="1"/>
  <c r="S91" i="3"/>
  <c r="S92" i="3" s="1"/>
  <c r="P49" i="3"/>
  <c r="P73" i="3"/>
  <c r="P74" i="3" s="1"/>
  <c r="N61" i="3"/>
  <c r="N62" i="3" s="1"/>
  <c r="N49" i="3"/>
  <c r="K67" i="3"/>
  <c r="K68" i="3" s="1"/>
  <c r="K85" i="3"/>
  <c r="K86" i="3" s="1"/>
  <c r="K76" i="3"/>
  <c r="K77" i="3" s="1"/>
  <c r="H52" i="3"/>
  <c r="H73" i="3"/>
  <c r="H74" i="3" s="1"/>
  <c r="R100" i="3"/>
  <c r="R101" i="3" s="1"/>
  <c r="R73" i="3"/>
  <c r="R74" i="3" s="1"/>
  <c r="K52" i="3"/>
  <c r="K73" i="3"/>
  <c r="K74" i="3" s="1"/>
  <c r="R79" i="3"/>
  <c r="R80" i="3" s="1"/>
  <c r="P79" i="3"/>
  <c r="P80" i="3" s="1"/>
  <c r="O94" i="3"/>
  <c r="O95" i="3" s="1"/>
  <c r="R49" i="3"/>
  <c r="H94" i="3"/>
  <c r="H95" i="3" s="1"/>
  <c r="H91" i="3"/>
  <c r="H92" i="3" s="1"/>
  <c r="O58" i="3"/>
  <c r="O59" i="3" s="1"/>
  <c r="R52" i="3"/>
  <c r="H58" i="3"/>
  <c r="H59" i="3" s="1"/>
  <c r="H67" i="3"/>
  <c r="H68" i="3" s="1"/>
  <c r="K91" i="3"/>
  <c r="K92" i="3" s="1"/>
  <c r="T26" i="3"/>
  <c r="T30" i="3" s="1"/>
  <c r="O103" i="3"/>
  <c r="O104" i="3" s="1"/>
  <c r="O85" i="3"/>
  <c r="O86" i="3" s="1"/>
  <c r="R64" i="3"/>
  <c r="R65" i="3" s="1"/>
  <c r="K100" i="3"/>
  <c r="K101" i="3" s="1"/>
  <c r="K64" i="3"/>
  <c r="K65" i="3" s="1"/>
  <c r="H76" i="3"/>
  <c r="H77" i="3" s="1"/>
  <c r="K61" i="3"/>
  <c r="K62" i="3" s="1"/>
  <c r="J30" i="3"/>
  <c r="R109" i="3"/>
  <c r="R110" i="3" s="1"/>
  <c r="O30" i="3"/>
  <c r="O76" i="3"/>
  <c r="O77" i="3" s="1"/>
  <c r="I76" i="3"/>
  <c r="I77" i="3" s="1"/>
  <c r="K30" i="3"/>
  <c r="H85" i="3"/>
  <c r="H86" i="3" s="1"/>
  <c r="J58" i="3"/>
  <c r="J59" i="3" s="1"/>
  <c r="H49" i="3"/>
  <c r="I85" i="3"/>
  <c r="I86" i="3" s="1"/>
  <c r="J94" i="3"/>
  <c r="J95" i="3" s="1"/>
  <c r="AB23" i="5"/>
  <c r="AB19" i="5"/>
  <c r="AE23" i="5"/>
  <c r="AE19" i="5"/>
  <c r="T71" i="3"/>
  <c r="H64" i="3"/>
  <c r="H65" i="3" s="1"/>
  <c r="M61" i="3"/>
  <c r="M62" i="3" s="1"/>
  <c r="J103" i="3"/>
  <c r="J104" i="3" s="1"/>
  <c r="S61" i="3"/>
  <c r="S62" i="3" s="1"/>
  <c r="T89" i="3"/>
  <c r="G106" i="3"/>
  <c r="G107" i="3" s="1"/>
  <c r="I58" i="3"/>
  <c r="I59" i="3" s="1"/>
  <c r="I94" i="3"/>
  <c r="I95" i="3" s="1"/>
  <c r="N109" i="3"/>
  <c r="N110" i="3" s="1"/>
  <c r="I30" i="3"/>
  <c r="P109" i="3"/>
  <c r="P110" i="3" s="1"/>
  <c r="O61" i="3"/>
  <c r="O62" i="3" s="1"/>
  <c r="T98" i="3"/>
  <c r="H100" i="3"/>
  <c r="H101" i="3" s="1"/>
  <c r="I67" i="3"/>
  <c r="I68" i="3" s="1"/>
  <c r="S109" i="3"/>
  <c r="S110" i="3" s="1"/>
  <c r="K82" i="3"/>
  <c r="K83" i="3" s="1"/>
  <c r="J67" i="3"/>
  <c r="J68" i="3" s="1"/>
  <c r="AE47" i="5"/>
  <c r="AE44" i="5"/>
  <c r="U23" i="5"/>
  <c r="V23" i="5"/>
  <c r="T23" i="5"/>
  <c r="R23" i="5"/>
  <c r="W23" i="5"/>
  <c r="S23" i="5"/>
  <c r="AE48" i="5"/>
  <c r="AE34" i="5"/>
  <c r="AE43" i="5"/>
  <c r="AE53" i="5"/>
  <c r="AE52" i="5"/>
  <c r="AB30" i="5"/>
  <c r="AB26" i="5"/>
  <c r="AB36" i="5"/>
  <c r="AB33" i="5"/>
  <c r="AB29" i="5"/>
  <c r="AB25" i="5"/>
  <c r="AB34" i="5"/>
  <c r="AB14" i="5"/>
  <c r="AB10" i="5"/>
  <c r="AB50" i="5"/>
  <c r="AB46" i="5"/>
  <c r="AB42" i="5"/>
  <c r="AB35" i="5"/>
  <c r="AB31" i="5"/>
  <c r="AB27" i="5"/>
  <c r="AB18" i="5"/>
  <c r="AB13" i="5"/>
  <c r="AB9" i="5"/>
  <c r="AB15" i="5"/>
  <c r="AB11" i="5"/>
  <c r="AB8" i="5"/>
  <c r="AB6" i="5"/>
  <c r="AB32" i="5"/>
  <c r="AB28" i="5"/>
  <c r="AB24" i="5"/>
  <c r="AB16" i="5"/>
  <c r="AB12" i="5"/>
  <c r="AB7" i="5"/>
  <c r="AB43" i="5"/>
  <c r="AB49" i="5"/>
  <c r="AC54" i="5"/>
  <c r="AB54" i="5"/>
  <c r="AA54" i="5"/>
  <c r="Z54" i="5"/>
  <c r="AE54" i="5"/>
  <c r="AD54" i="5"/>
  <c r="AE37" i="5"/>
  <c r="AA37" i="5"/>
  <c r="AD37" i="5"/>
  <c r="Z37" i="5"/>
  <c r="AC37" i="5"/>
  <c r="AB37" i="5"/>
  <c r="AE31" i="5"/>
  <c r="AE27" i="5"/>
  <c r="AE30" i="5"/>
  <c r="AE26" i="5"/>
  <c r="AE50" i="5"/>
  <c r="AE49" i="5"/>
  <c r="AE46" i="5"/>
  <c r="AE45" i="5"/>
  <c r="AE42" i="5"/>
  <c r="AE41" i="5"/>
  <c r="AE35" i="5"/>
  <c r="AE15" i="5"/>
  <c r="AE11" i="5"/>
  <c r="AE36" i="5"/>
  <c r="AE32" i="5"/>
  <c r="AE28" i="5"/>
  <c r="AE24" i="5"/>
  <c r="AE14" i="5"/>
  <c r="AE10" i="5"/>
  <c r="AE6" i="5"/>
  <c r="AE33" i="5"/>
  <c r="AE29" i="5"/>
  <c r="AE25" i="5"/>
  <c r="AE18" i="5"/>
  <c r="AE16" i="5"/>
  <c r="AE12" i="5"/>
  <c r="AE51" i="5"/>
  <c r="AE13" i="5"/>
  <c r="AE9" i="5"/>
  <c r="AE8" i="5"/>
  <c r="AE7" i="5"/>
  <c r="AC20" i="5"/>
  <c r="AB20" i="5"/>
  <c r="Z20" i="5"/>
  <c r="AE20" i="5"/>
  <c r="AA20" i="5"/>
  <c r="AD20" i="5"/>
  <c r="AB41" i="5"/>
  <c r="AB51" i="5"/>
  <c r="O37" i="5"/>
  <c r="U34" i="5"/>
  <c r="T34" i="5"/>
  <c r="R34" i="5"/>
  <c r="W34" i="5"/>
  <c r="S34" i="5"/>
  <c r="V34" i="5"/>
  <c r="AB52" i="5"/>
  <c r="AB45" i="5"/>
  <c r="AB48" i="5"/>
  <c r="AB44" i="5"/>
  <c r="V17" i="5"/>
  <c r="R17" i="5"/>
  <c r="U17" i="5"/>
  <c r="S17" i="5"/>
  <c r="W17" i="5"/>
  <c r="O20" i="5"/>
  <c r="T17" i="5"/>
  <c r="AB53" i="5"/>
  <c r="AB40" i="5"/>
  <c r="AE40" i="5"/>
  <c r="AA40" i="5"/>
  <c r="AD40" i="5"/>
  <c r="Z40" i="5"/>
  <c r="AC40" i="5"/>
  <c r="AB17" i="5"/>
  <c r="U6" i="5"/>
  <c r="V6" i="5"/>
  <c r="T6" i="5"/>
  <c r="R6" i="5"/>
  <c r="W6" i="5"/>
  <c r="S6" i="5"/>
  <c r="AB47" i="5"/>
  <c r="V17" i="4"/>
  <c r="R17" i="4"/>
  <c r="U17" i="4"/>
  <c r="Q17" i="4"/>
  <c r="T17" i="4"/>
  <c r="S17" i="4"/>
  <c r="G94" i="3"/>
  <c r="G95" i="3" s="1"/>
  <c r="G103" i="3"/>
  <c r="G104" i="3" s="1"/>
  <c r="G58" i="3"/>
  <c r="G59" i="3" s="1"/>
  <c r="G85" i="3"/>
  <c r="G86" i="3" s="1"/>
  <c r="G76" i="3"/>
  <c r="G77" i="3" s="1"/>
  <c r="G30" i="3"/>
  <c r="G67" i="3"/>
  <c r="G68" i="3" s="1"/>
  <c r="I79" i="3"/>
  <c r="I80" i="3" s="1"/>
  <c r="O106" i="3"/>
  <c r="O107" i="3" s="1"/>
  <c r="K106" i="3"/>
  <c r="K107" i="3" s="1"/>
  <c r="O79" i="3"/>
  <c r="O80" i="3" s="1"/>
  <c r="H61" i="3"/>
  <c r="H62" i="3" s="1"/>
  <c r="P61" i="3"/>
  <c r="P62" i="3" s="1"/>
  <c r="L61" i="3"/>
  <c r="L62" i="3" s="1"/>
  <c r="R106" i="3"/>
  <c r="R107" i="3" s="1"/>
  <c r="M109" i="3"/>
  <c r="M110" i="3" s="1"/>
  <c r="M100" i="3"/>
  <c r="M101" i="3" s="1"/>
  <c r="M91" i="3"/>
  <c r="M92" i="3" s="1"/>
  <c r="M82" i="3"/>
  <c r="M83" i="3" s="1"/>
  <c r="M64" i="3"/>
  <c r="M65" i="3" s="1"/>
  <c r="M52" i="3"/>
  <c r="M49" i="3"/>
  <c r="O82" i="3"/>
  <c r="O83" i="3" s="1"/>
  <c r="G82" i="3"/>
  <c r="G83" i="3" s="1"/>
  <c r="G91" i="3"/>
  <c r="G92" i="3" s="1"/>
  <c r="G100" i="3"/>
  <c r="G101" i="3" s="1"/>
  <c r="G64" i="3"/>
  <c r="G65" i="3" s="1"/>
  <c r="G52" i="3"/>
  <c r="G49" i="3"/>
  <c r="G109" i="3"/>
  <c r="G110" i="3" s="1"/>
  <c r="Q79" i="3"/>
  <c r="Q80" i="3" s="1"/>
  <c r="I61" i="3"/>
  <c r="I62" i="3" s="1"/>
  <c r="S82" i="3"/>
  <c r="S83" i="3" s="1"/>
  <c r="K109" i="3"/>
  <c r="K110" i="3" s="1"/>
  <c r="Q109" i="3"/>
  <c r="Q110" i="3" s="1"/>
  <c r="Q100" i="3"/>
  <c r="Q101" i="3" s="1"/>
  <c r="Q91" i="3"/>
  <c r="Q92" i="3" s="1"/>
  <c r="Q82" i="3"/>
  <c r="Q83" i="3" s="1"/>
  <c r="Q64" i="3"/>
  <c r="Q65" i="3" s="1"/>
  <c r="Q52" i="3"/>
  <c r="Q49" i="3"/>
  <c r="T48" i="3"/>
  <c r="Q106" i="3"/>
  <c r="Q107" i="3" s="1"/>
  <c r="L79" i="3"/>
  <c r="L80" i="3" s="1"/>
  <c r="H79" i="3"/>
  <c r="H80" i="3" s="1"/>
  <c r="K79" i="3"/>
  <c r="K80" i="3" s="1"/>
  <c r="N79" i="3"/>
  <c r="N80" i="3" s="1"/>
  <c r="I109" i="3"/>
  <c r="I110" i="3" s="1"/>
  <c r="I100" i="3"/>
  <c r="I101" i="3" s="1"/>
  <c r="I91" i="3"/>
  <c r="I92" i="3" s="1"/>
  <c r="I82" i="3"/>
  <c r="I83" i="3" s="1"/>
  <c r="I64" i="3"/>
  <c r="I65" i="3" s="1"/>
  <c r="I52" i="3"/>
  <c r="I49" i="3"/>
  <c r="H82" i="3"/>
  <c r="H83" i="3" s="1"/>
  <c r="O109" i="3"/>
  <c r="O110" i="3" s="1"/>
  <c r="Q61" i="3"/>
  <c r="Q62" i="3" s="1"/>
  <c r="L109" i="3"/>
  <c r="L110" i="3" s="1"/>
  <c r="J61" i="3"/>
  <c r="J62" i="3" s="1"/>
  <c r="J109" i="3"/>
  <c r="J110" i="3" s="1"/>
  <c r="H106" i="3"/>
  <c r="H107" i="3" s="1"/>
  <c r="S106" i="3"/>
  <c r="S107" i="3" s="1"/>
  <c r="P106" i="3"/>
  <c r="P107" i="3" s="1"/>
  <c r="L106" i="3"/>
  <c r="L107" i="3" s="1"/>
  <c r="G79" i="3"/>
  <c r="G80" i="3" s="1"/>
  <c r="N106" i="3"/>
  <c r="N107" i="3" s="1"/>
  <c r="J106" i="3"/>
  <c r="J107" i="3" s="1"/>
  <c r="H109" i="3"/>
  <c r="H110" i="3" s="1"/>
  <c r="I106" i="3"/>
  <c r="I107" i="3" s="1"/>
  <c r="R82" i="3"/>
  <c r="R83" i="3" s="1"/>
  <c r="P82" i="3"/>
  <c r="P83" i="3" s="1"/>
  <c r="M79" i="3"/>
  <c r="M80" i="3" s="1"/>
  <c r="R79" i="1"/>
  <c r="AH79" i="1"/>
  <c r="J35" i="8" l="1"/>
  <c r="I48" i="8"/>
  <c r="T86" i="3"/>
  <c r="T40" i="9"/>
  <c r="T41" i="9"/>
  <c r="T46" i="9"/>
  <c r="T43" i="9"/>
  <c r="T37" i="9"/>
  <c r="T42" i="9"/>
  <c r="H91" i="8"/>
  <c r="H92" i="8" s="1"/>
  <c r="D38" i="7"/>
  <c r="D53" i="7" s="1"/>
  <c r="D55" i="7" s="1"/>
  <c r="D162" i="7" s="1"/>
  <c r="D272" i="7" s="1"/>
  <c r="D38" i="6"/>
  <c r="D53" i="6" s="1"/>
  <c r="D55" i="6" s="1"/>
  <c r="H100" i="8"/>
  <c r="H101" i="8" s="1"/>
  <c r="H49" i="8"/>
  <c r="H109" i="8"/>
  <c r="H110" i="8" s="1"/>
  <c r="H64" i="8"/>
  <c r="H65" i="8" s="1"/>
  <c r="H82" i="8"/>
  <c r="H83" i="8" s="1"/>
  <c r="H52" i="8"/>
  <c r="H73" i="8"/>
  <c r="H74" i="8" s="1"/>
  <c r="T47" i="9"/>
  <c r="T39" i="9"/>
  <c r="T38" i="9"/>
  <c r="C53" i="6"/>
  <c r="C55" i="6" s="1"/>
  <c r="C163" i="6" s="1"/>
  <c r="C273" i="6" s="1"/>
  <c r="T36" i="9"/>
  <c r="T45" i="9"/>
  <c r="T95" i="3"/>
  <c r="T74" i="3"/>
  <c r="T59" i="3"/>
  <c r="T104" i="3"/>
  <c r="T68" i="3"/>
  <c r="T77" i="3"/>
  <c r="T65" i="3"/>
  <c r="T62" i="3"/>
  <c r="T80" i="3"/>
  <c r="T107" i="3"/>
  <c r="W20" i="5"/>
  <c r="S20" i="5"/>
  <c r="V20" i="5"/>
  <c r="R20" i="5"/>
  <c r="U20" i="5"/>
  <c r="T20" i="5"/>
  <c r="U37" i="5"/>
  <c r="T37" i="5"/>
  <c r="V37" i="5"/>
  <c r="S37" i="5"/>
  <c r="W37" i="5"/>
  <c r="R37" i="5"/>
  <c r="T110" i="3"/>
  <c r="T92" i="3"/>
  <c r="T52" i="3"/>
  <c r="T49" i="3"/>
  <c r="T101" i="3"/>
  <c r="T83" i="3"/>
  <c r="E38" i="7" l="1"/>
  <c r="E53" i="7" s="1"/>
  <c r="E55" i="7" s="1"/>
  <c r="E162" i="7" s="1"/>
  <c r="E272" i="7" s="1"/>
  <c r="E38" i="6"/>
  <c r="I82" i="8"/>
  <c r="I83" i="8" s="1"/>
  <c r="I49" i="8"/>
  <c r="I73" i="8"/>
  <c r="I74" i="8" s="1"/>
  <c r="I52" i="8"/>
  <c r="I91" i="8"/>
  <c r="I92" i="8" s="1"/>
  <c r="I100" i="8"/>
  <c r="I101" i="8" s="1"/>
  <c r="I64" i="8"/>
  <c r="I65" i="8" s="1"/>
  <c r="I109" i="8"/>
  <c r="I110" i="8" s="1"/>
  <c r="K35" i="8"/>
  <c r="J48" i="8"/>
  <c r="T116" i="3"/>
  <c r="T117" i="3"/>
  <c r="T115" i="3"/>
  <c r="F38" i="7" l="1"/>
  <c r="F53" i="7" s="1"/>
  <c r="F55" i="7" s="1"/>
  <c r="F162" i="7" s="1"/>
  <c r="F272" i="7" s="1"/>
  <c r="F38" i="6"/>
  <c r="F53" i="6" s="1"/>
  <c r="F55" i="6" s="1"/>
  <c r="F163" i="6" s="1"/>
  <c r="F273" i="6" s="1"/>
  <c r="J100" i="8"/>
  <c r="J101" i="8" s="1"/>
  <c r="J64" i="8"/>
  <c r="J65" i="8" s="1"/>
  <c r="J73" i="8"/>
  <c r="J74" i="8" s="1"/>
  <c r="J91" i="8"/>
  <c r="J92" i="8" s="1"/>
  <c r="J52" i="8"/>
  <c r="J82" i="8"/>
  <c r="J83" i="8" s="1"/>
  <c r="J49" i="8"/>
  <c r="J109" i="8"/>
  <c r="J110" i="8" s="1"/>
  <c r="L35" i="8"/>
  <c r="K48" i="8"/>
  <c r="E53" i="6"/>
  <c r="E55" i="6" s="1"/>
  <c r="E163" i="6" s="1"/>
  <c r="E273" i="6" s="1"/>
  <c r="D146" i="6"/>
  <c r="D163" i="6" s="1"/>
  <c r="D273" i="6" s="1"/>
  <c r="K91" i="8" l="1"/>
  <c r="K92" i="8" s="1"/>
  <c r="G38" i="7"/>
  <c r="G53" i="7" s="1"/>
  <c r="G55" i="7" s="1"/>
  <c r="G162" i="7" s="1"/>
  <c r="G272" i="7" s="1"/>
  <c r="G38" i="6"/>
  <c r="K100" i="8"/>
  <c r="K101" i="8" s="1"/>
  <c r="K73" i="8"/>
  <c r="K74" i="8" s="1"/>
  <c r="K49" i="8"/>
  <c r="K64" i="8"/>
  <c r="K65" i="8" s="1"/>
  <c r="K82" i="8"/>
  <c r="K83" i="8" s="1"/>
  <c r="K52" i="8"/>
  <c r="K109" i="8"/>
  <c r="K110" i="8" s="1"/>
  <c r="M35" i="8"/>
  <c r="L48" i="8"/>
  <c r="H38" i="7" l="1"/>
  <c r="H53" i="7" s="1"/>
  <c r="H55" i="7" s="1"/>
  <c r="H162" i="7" s="1"/>
  <c r="H272" i="7" s="1"/>
  <c r="H38" i="6"/>
  <c r="H53" i="6" s="1"/>
  <c r="H55" i="6" s="1"/>
  <c r="H163" i="6" s="1"/>
  <c r="H273" i="6" s="1"/>
  <c r="L52" i="8"/>
  <c r="L100" i="8"/>
  <c r="L101" i="8" s="1"/>
  <c r="L91" i="8"/>
  <c r="L92" i="8" s="1"/>
  <c r="L64" i="8"/>
  <c r="L65" i="8" s="1"/>
  <c r="L73" i="8"/>
  <c r="L74" i="8" s="1"/>
  <c r="L82" i="8"/>
  <c r="L83" i="8" s="1"/>
  <c r="L109" i="8"/>
  <c r="L110" i="8" s="1"/>
  <c r="L49" i="8"/>
  <c r="N35" i="8"/>
  <c r="M48" i="8"/>
  <c r="G53" i="6"/>
  <c r="G55" i="6" s="1"/>
  <c r="G163" i="6" s="1"/>
  <c r="G273" i="6" s="1"/>
  <c r="I38" i="6" l="1"/>
  <c r="I38" i="7"/>
  <c r="I53" i="7" s="1"/>
  <c r="I55" i="7" s="1"/>
  <c r="I162" i="7" s="1"/>
  <c r="I272" i="7" s="1"/>
  <c r="M73" i="8"/>
  <c r="M74" i="8" s="1"/>
  <c r="M100" i="8"/>
  <c r="M101" i="8" s="1"/>
  <c r="M64" i="8"/>
  <c r="M65" i="8" s="1"/>
  <c r="M49" i="8"/>
  <c r="M91" i="8"/>
  <c r="M92" i="8" s="1"/>
  <c r="M52" i="8"/>
  <c r="M82" i="8"/>
  <c r="M83" i="8" s="1"/>
  <c r="M109" i="8"/>
  <c r="M110" i="8" s="1"/>
  <c r="O35" i="8"/>
  <c r="N48" i="8"/>
  <c r="P35" i="8" l="1"/>
  <c r="O48" i="8"/>
  <c r="J38" i="7"/>
  <c r="J53" i="7" s="1"/>
  <c r="J55" i="7" s="1"/>
  <c r="J162" i="7" s="1"/>
  <c r="J272" i="7" s="1"/>
  <c r="J38" i="6"/>
  <c r="J53" i="6" s="1"/>
  <c r="J55" i="6" s="1"/>
  <c r="J163" i="6" s="1"/>
  <c r="J273" i="6" s="1"/>
  <c r="N91" i="8"/>
  <c r="N92" i="8" s="1"/>
  <c r="N52" i="8"/>
  <c r="N82" i="8"/>
  <c r="N83" i="8" s="1"/>
  <c r="N49" i="8"/>
  <c r="N64" i="8"/>
  <c r="N65" i="8" s="1"/>
  <c r="N73" i="8"/>
  <c r="N74" i="8" s="1"/>
  <c r="N100" i="8"/>
  <c r="N101" i="8" s="1"/>
  <c r="N109" i="8"/>
  <c r="N110" i="8" s="1"/>
  <c r="I53" i="6"/>
  <c r="I55" i="6" s="1"/>
  <c r="I163" i="6" s="1"/>
  <c r="I273" i="6" s="1"/>
  <c r="O100" i="8" l="1"/>
  <c r="O101" i="8" s="1"/>
  <c r="K38" i="6"/>
  <c r="K38" i="7"/>
  <c r="K53" i="7" s="1"/>
  <c r="K55" i="7" s="1"/>
  <c r="K162" i="7" s="1"/>
  <c r="K272" i="7" s="1"/>
  <c r="O82" i="8"/>
  <c r="O83" i="8" s="1"/>
  <c r="O49" i="8"/>
  <c r="O52" i="8"/>
  <c r="O64" i="8"/>
  <c r="O65" i="8" s="1"/>
  <c r="O73" i="8"/>
  <c r="O74" i="8" s="1"/>
  <c r="O109" i="8"/>
  <c r="O110" i="8" s="1"/>
  <c r="O91" i="8"/>
  <c r="O92" i="8" s="1"/>
  <c r="Q35" i="8"/>
  <c r="P48" i="8"/>
  <c r="L38" i="7" l="1"/>
  <c r="L53" i="7" s="1"/>
  <c r="L55" i="7" s="1"/>
  <c r="L162" i="7" s="1"/>
  <c r="L272" i="7" s="1"/>
  <c r="L38" i="6"/>
  <c r="L53" i="6" s="1"/>
  <c r="L55" i="6" s="1"/>
  <c r="L163" i="6" s="1"/>
  <c r="L273" i="6" s="1"/>
  <c r="P73" i="8"/>
  <c r="P74" i="8" s="1"/>
  <c r="P100" i="8"/>
  <c r="P101" i="8" s="1"/>
  <c r="P64" i="8"/>
  <c r="P65" i="8" s="1"/>
  <c r="P82" i="8"/>
  <c r="P83" i="8" s="1"/>
  <c r="P91" i="8"/>
  <c r="P92" i="8" s="1"/>
  <c r="P52" i="8"/>
  <c r="P49" i="8"/>
  <c r="P109" i="8"/>
  <c r="P110" i="8" s="1"/>
  <c r="R35" i="8"/>
  <c r="Q48" i="8"/>
  <c r="K53" i="6"/>
  <c r="K55" i="6" s="1"/>
  <c r="K163" i="6" s="1"/>
  <c r="K273" i="6" s="1"/>
  <c r="M38" i="7" l="1"/>
  <c r="M53" i="7" s="1"/>
  <c r="M55" i="7" s="1"/>
  <c r="M162" i="7" s="1"/>
  <c r="M272" i="7" s="1"/>
  <c r="M38" i="6"/>
  <c r="M53" i="6" s="1"/>
  <c r="M55" i="6" s="1"/>
  <c r="M163" i="6" s="1"/>
  <c r="M273" i="6" s="1"/>
  <c r="Q100" i="8"/>
  <c r="Q101" i="8" s="1"/>
  <c r="Q64" i="8"/>
  <c r="Q65" i="8" s="1"/>
  <c r="Q52" i="8"/>
  <c r="Q73" i="8"/>
  <c r="Q74" i="8" s="1"/>
  <c r="Q91" i="8"/>
  <c r="Q92" i="8" s="1"/>
  <c r="Q82" i="8"/>
  <c r="Q83" i="8" s="1"/>
  <c r="Q49" i="8"/>
  <c r="Q109" i="8"/>
  <c r="Q110" i="8" s="1"/>
  <c r="S35" i="8"/>
  <c r="R48" i="8"/>
  <c r="R100" i="8" l="1"/>
  <c r="R101" i="8" s="1"/>
  <c r="N38" i="7"/>
  <c r="N53" i="7" s="1"/>
  <c r="N55" i="7" s="1"/>
  <c r="N162" i="7" s="1"/>
  <c r="N272" i="7" s="1"/>
  <c r="N38" i="6"/>
  <c r="N53" i="6" s="1"/>
  <c r="N55" i="6" s="1"/>
  <c r="N163" i="6" s="1"/>
  <c r="N273" i="6" s="1"/>
  <c r="R82" i="8"/>
  <c r="R83" i="8" s="1"/>
  <c r="R91" i="8"/>
  <c r="R92" i="8" s="1"/>
  <c r="R49" i="8"/>
  <c r="R109" i="8"/>
  <c r="R110" i="8" s="1"/>
  <c r="R73" i="8"/>
  <c r="R74" i="8" s="1"/>
  <c r="R64" i="8"/>
  <c r="R65" i="8" s="1"/>
  <c r="R52" i="8"/>
  <c r="G35" i="9"/>
  <c r="S48" i="8"/>
  <c r="T35" i="8"/>
  <c r="T48" i="8" s="1"/>
  <c r="O38" i="7" l="1"/>
  <c r="O53" i="7" s="1"/>
  <c r="O55" i="7" s="1"/>
  <c r="O162" i="7" s="1"/>
  <c r="O272" i="7" s="1"/>
  <c r="O38" i="6"/>
  <c r="S91" i="8"/>
  <c r="S92" i="8" s="1"/>
  <c r="T92" i="8" s="1"/>
  <c r="S52" i="8"/>
  <c r="S82" i="8"/>
  <c r="S83" i="8" s="1"/>
  <c r="T83" i="8" s="1"/>
  <c r="S49" i="8"/>
  <c r="S100" i="8"/>
  <c r="S101" i="8" s="1"/>
  <c r="T101" i="8" s="1"/>
  <c r="S73" i="8"/>
  <c r="S74" i="8" s="1"/>
  <c r="T74" i="8" s="1"/>
  <c r="S64" i="8"/>
  <c r="S65" i="8" s="1"/>
  <c r="T65" i="8" s="1"/>
  <c r="S109" i="8"/>
  <c r="S110" i="8" s="1"/>
  <c r="T110" i="8" s="1"/>
  <c r="H35" i="9"/>
  <c r="G48" i="9"/>
  <c r="T52" i="8"/>
  <c r="T49" i="8"/>
  <c r="I35" i="9" l="1"/>
  <c r="H48" i="9"/>
  <c r="C38" i="7"/>
  <c r="O53" i="6"/>
  <c r="O55" i="6" s="1"/>
  <c r="O163" i="6" s="1"/>
  <c r="O273" i="6" s="1"/>
  <c r="P38" i="6"/>
  <c r="G73" i="9"/>
  <c r="G74" i="9" s="1"/>
  <c r="G109" i="9"/>
  <c r="G110" i="9" s="1"/>
  <c r="G49" i="9"/>
  <c r="G100" i="9"/>
  <c r="G101" i="9" s="1"/>
  <c r="G52" i="9"/>
  <c r="G82" i="9"/>
  <c r="G83" i="9" s="1"/>
  <c r="G64" i="9"/>
  <c r="G65" i="9" s="1"/>
  <c r="G91" i="9"/>
  <c r="G92" i="9" s="1"/>
  <c r="T117" i="8"/>
  <c r="C53" i="7" l="1"/>
  <c r="C55" i="7" s="1"/>
  <c r="C162" i="7" s="1"/>
  <c r="C272" i="7" s="1"/>
  <c r="P38" i="7"/>
  <c r="H109" i="9"/>
  <c r="H110" i="9" s="1"/>
  <c r="H64" i="9"/>
  <c r="H65" i="9" s="1"/>
  <c r="H52" i="9"/>
  <c r="H91" i="9"/>
  <c r="H92" i="9" s="1"/>
  <c r="H73" i="9"/>
  <c r="H74" i="9" s="1"/>
  <c r="H49" i="9"/>
  <c r="H100" i="9"/>
  <c r="H101" i="9" s="1"/>
  <c r="H82" i="9"/>
  <c r="H83" i="9" s="1"/>
  <c r="Q38" i="6"/>
  <c r="Q53" i="6" s="1"/>
  <c r="P53" i="6"/>
  <c r="P55" i="6" s="1"/>
  <c r="P163" i="6" s="1"/>
  <c r="P273" i="6" s="1"/>
  <c r="J35" i="9"/>
  <c r="I48" i="9"/>
  <c r="Q55" i="6" l="1"/>
  <c r="Q163" i="6" s="1"/>
  <c r="Q273" i="6" s="1"/>
  <c r="R53" i="6"/>
  <c r="Q38" i="7"/>
  <c r="Q53" i="7" s="1"/>
  <c r="P53" i="7"/>
  <c r="P55" i="7" s="1"/>
  <c r="P162" i="7" s="1"/>
  <c r="P272" i="7" s="1"/>
  <c r="I109" i="9"/>
  <c r="I110" i="9" s="1"/>
  <c r="I73" i="9"/>
  <c r="I74" i="9" s="1"/>
  <c r="I91" i="9"/>
  <c r="I92" i="9" s="1"/>
  <c r="I100" i="9"/>
  <c r="I101" i="9" s="1"/>
  <c r="I64" i="9"/>
  <c r="I65" i="9" s="1"/>
  <c r="I49" i="9"/>
  <c r="I82" i="9"/>
  <c r="I83" i="9" s="1"/>
  <c r="I52" i="9"/>
  <c r="K35" i="9"/>
  <c r="J48" i="9"/>
  <c r="R53" i="7" l="1"/>
  <c r="Q55" i="7"/>
  <c r="Q162" i="7" s="1"/>
  <c r="Q272" i="7" s="1"/>
  <c r="J64" i="9"/>
  <c r="J65" i="9" s="1"/>
  <c r="J109" i="9"/>
  <c r="J110" i="9" s="1"/>
  <c r="J52" i="9"/>
  <c r="J91" i="9"/>
  <c r="J92" i="9" s="1"/>
  <c r="J49" i="9"/>
  <c r="J73" i="9"/>
  <c r="J74" i="9" s="1"/>
  <c r="J100" i="9"/>
  <c r="J101" i="9" s="1"/>
  <c r="J82" i="9"/>
  <c r="J83" i="9" s="1"/>
  <c r="L35" i="9"/>
  <c r="K48" i="9"/>
  <c r="M35" i="9" l="1"/>
  <c r="L48" i="9"/>
  <c r="K109" i="9"/>
  <c r="K110" i="9" s="1"/>
  <c r="K52" i="9"/>
  <c r="K64" i="9"/>
  <c r="K65" i="9" s="1"/>
  <c r="K91" i="9"/>
  <c r="K92" i="9" s="1"/>
  <c r="K100" i="9"/>
  <c r="K101" i="9" s="1"/>
  <c r="K73" i="9"/>
  <c r="K74" i="9" s="1"/>
  <c r="K49" i="9"/>
  <c r="K82" i="9"/>
  <c r="K83" i="9" s="1"/>
  <c r="L109" i="9" l="1"/>
  <c r="L110" i="9" s="1"/>
  <c r="L91" i="9"/>
  <c r="L92" i="9" s="1"/>
  <c r="L73" i="9"/>
  <c r="L74" i="9" s="1"/>
  <c r="L49" i="9"/>
  <c r="L82" i="9"/>
  <c r="L83" i="9" s="1"/>
  <c r="L64" i="9"/>
  <c r="L65" i="9" s="1"/>
  <c r="L100" i="9"/>
  <c r="L101" i="9" s="1"/>
  <c r="L52" i="9"/>
  <c r="N35" i="9"/>
  <c r="M48" i="9"/>
  <c r="M109" i="9" l="1"/>
  <c r="M110" i="9" s="1"/>
  <c r="M73" i="9"/>
  <c r="M74" i="9" s="1"/>
  <c r="M49" i="9"/>
  <c r="M91" i="9"/>
  <c r="M92" i="9" s="1"/>
  <c r="M64" i="9"/>
  <c r="M65" i="9" s="1"/>
  <c r="M52" i="9"/>
  <c r="M82" i="9"/>
  <c r="M83" i="9" s="1"/>
  <c r="M100" i="9"/>
  <c r="M101" i="9" s="1"/>
  <c r="O35" i="9"/>
  <c r="N48" i="9"/>
  <c r="N73" i="9" l="1"/>
  <c r="N74" i="9" s="1"/>
  <c r="N49" i="9"/>
  <c r="N52" i="9"/>
  <c r="N64" i="9"/>
  <c r="N65" i="9" s="1"/>
  <c r="N82" i="9"/>
  <c r="N83" i="9" s="1"/>
  <c r="N109" i="9"/>
  <c r="N110" i="9" s="1"/>
  <c r="N91" i="9"/>
  <c r="N92" i="9" s="1"/>
  <c r="N100" i="9"/>
  <c r="N101" i="9" s="1"/>
  <c r="P35" i="9"/>
  <c r="O48" i="9"/>
  <c r="O64" i="9" l="1"/>
  <c r="O65" i="9" s="1"/>
  <c r="O49" i="9"/>
  <c r="O82" i="9"/>
  <c r="O83" i="9" s="1"/>
  <c r="O109" i="9"/>
  <c r="O110" i="9" s="1"/>
  <c r="O100" i="9"/>
  <c r="O101" i="9" s="1"/>
  <c r="O73" i="9"/>
  <c r="O74" i="9" s="1"/>
  <c r="O52" i="9"/>
  <c r="O91" i="9"/>
  <c r="O92" i="9" s="1"/>
  <c r="Q35" i="9"/>
  <c r="P48" i="9"/>
  <c r="P52" i="9" l="1"/>
  <c r="P109" i="9"/>
  <c r="P110" i="9" s="1"/>
  <c r="P64" i="9"/>
  <c r="P65" i="9" s="1"/>
  <c r="P91" i="9"/>
  <c r="P92" i="9" s="1"/>
  <c r="P49" i="9"/>
  <c r="P82" i="9"/>
  <c r="P83" i="9" s="1"/>
  <c r="P100" i="9"/>
  <c r="P101" i="9" s="1"/>
  <c r="P73" i="9"/>
  <c r="P74" i="9" s="1"/>
  <c r="R35" i="9"/>
  <c r="Q48" i="9"/>
  <c r="Q91" i="9" l="1"/>
  <c r="Q92" i="9" s="1"/>
  <c r="Q109" i="9"/>
  <c r="Q110" i="9" s="1"/>
  <c r="Q64" i="9"/>
  <c r="Q65" i="9" s="1"/>
  <c r="Q100" i="9"/>
  <c r="Q101" i="9" s="1"/>
  <c r="Q73" i="9"/>
  <c r="Q74" i="9" s="1"/>
  <c r="Q52" i="9"/>
  <c r="Q82" i="9"/>
  <c r="Q83" i="9" s="1"/>
  <c r="Q49" i="9"/>
  <c r="S35" i="9"/>
  <c r="R48" i="9"/>
  <c r="R100" i="9" l="1"/>
  <c r="R101" i="9" s="1"/>
  <c r="R82" i="9"/>
  <c r="R83" i="9" s="1"/>
  <c r="R109" i="9"/>
  <c r="R110" i="9" s="1"/>
  <c r="R64" i="9"/>
  <c r="R65" i="9" s="1"/>
  <c r="R52" i="9"/>
  <c r="R49" i="9"/>
  <c r="R73" i="9"/>
  <c r="R74" i="9" s="1"/>
  <c r="R91" i="9"/>
  <c r="R92" i="9" s="1"/>
  <c r="S48" i="9"/>
  <c r="T35" i="9"/>
  <c r="T48" i="9" s="1"/>
  <c r="T49" i="9" l="1"/>
  <c r="T52" i="9"/>
  <c r="S91" i="9"/>
  <c r="S92" i="9" s="1"/>
  <c r="T92" i="9" s="1"/>
  <c r="S52" i="9"/>
  <c r="S109" i="9"/>
  <c r="S110" i="9" s="1"/>
  <c r="T110" i="9" s="1"/>
  <c r="S49" i="9"/>
  <c r="S82" i="9"/>
  <c r="S83" i="9" s="1"/>
  <c r="T83" i="9" s="1"/>
  <c r="S64" i="9"/>
  <c r="S65" i="9" s="1"/>
  <c r="T65" i="9" s="1"/>
  <c r="T117" i="9" s="1"/>
  <c r="S73" i="9"/>
  <c r="S74" i="9" s="1"/>
  <c r="T74" i="9" s="1"/>
  <c r="S100" i="9"/>
  <c r="S101" i="9" s="1"/>
  <c r="T101" i="9" s="1"/>
</calcChain>
</file>

<file path=xl/comments1.xml><?xml version="1.0" encoding="utf-8"?>
<comments xmlns="http://schemas.openxmlformats.org/spreadsheetml/2006/main">
  <authors>
    <author>Setup</author>
    <author>Welch, Kathy</author>
  </authors>
  <commentList>
    <comment ref="U79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Add in adj for outstanding checks to offset 11101312.</t>
        </r>
      </text>
    </comment>
    <comment ref="T237" authorId="1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  <comment ref="T238" authorId="1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</commentList>
</comments>
</file>

<file path=xl/comments2.xml><?xml version="1.0" encoding="utf-8"?>
<comments xmlns="http://schemas.openxmlformats.org/spreadsheetml/2006/main">
  <authors>
    <author>Setup</author>
    <author>Onsomu, Philip</author>
    <author>Welch, Kathy</author>
  </authors>
  <commentList>
    <comment ref="U79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Add in adj for outstanding checks to offset 11101312.</t>
        </r>
      </text>
    </comment>
    <comment ref="D156" authorId="1" shapeId="0">
      <text>
        <r>
          <rPr>
            <b/>
            <sz val="12"/>
            <color indexed="81"/>
            <rFont val="Tahoma"/>
            <family val="2"/>
          </rPr>
          <t>Onsomu, Philip:</t>
        </r>
        <r>
          <rPr>
            <sz val="12"/>
            <color indexed="81"/>
            <rFont val="Tahoma"/>
            <family val="2"/>
          </rPr>
          <t xml:space="preserve">
Dana checking on this drop off from 12/31/21 to 1/31/22</t>
        </r>
      </text>
    </comment>
    <comment ref="T240" authorId="2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  <comment ref="T241" authorId="2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</commentList>
</comments>
</file>

<file path=xl/comments3.xml><?xml version="1.0" encoding="utf-8"?>
<comments xmlns="http://schemas.openxmlformats.org/spreadsheetml/2006/main">
  <authors>
    <author>Setup</author>
    <author>Welch, Kathy</author>
  </authors>
  <commentList>
    <comment ref="U79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Add in adj for outstanding checks to offset 11101312.</t>
        </r>
      </text>
    </comment>
    <comment ref="T239" authorId="1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  <comment ref="T240" authorId="1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</commentList>
</comments>
</file>

<file path=xl/sharedStrings.xml><?xml version="1.0" encoding="utf-8"?>
<sst xmlns="http://schemas.openxmlformats.org/spreadsheetml/2006/main" count="3464" uniqueCount="515">
  <si>
    <t>FPU Parent</t>
  </si>
  <si>
    <t>Work_Cap</t>
  </si>
  <si>
    <t>13-month average</t>
  </si>
  <si>
    <t>YEAR END</t>
  </si>
  <si>
    <t>Balance Sheet by FERC Account</t>
  </si>
  <si>
    <t>Allocations</t>
  </si>
  <si>
    <t>ELECTRIC %</t>
  </si>
  <si>
    <t>NAT. GAS %</t>
  </si>
  <si>
    <t>CFG%</t>
  </si>
  <si>
    <t>IND %</t>
  </si>
  <si>
    <t>FT. MEADE</t>
  </si>
  <si>
    <t>OTHER %</t>
  </si>
  <si>
    <t>13-Month Average</t>
  </si>
  <si>
    <t>PLANT</t>
  </si>
  <si>
    <t>December 31, 2021</t>
  </si>
  <si>
    <t>FPU PLANT</t>
  </si>
  <si>
    <t>BASE REV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</si>
  <si>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</si>
  <si>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</si>
  <si>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</si>
  <si>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</si>
  <si>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</si>
  <si>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</si>
  <si>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</si>
  <si>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</si>
  <si>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</si>
  <si>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</si>
  <si>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</si>
  <si>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</si>
  <si>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PR_FPU</t>
  </si>
  <si>
    <t>2020</t>
  </si>
  <si>
    <t>2021</t>
  </si>
  <si>
    <t>Total</t>
  </si>
  <si>
    <t>13-Mo Avg</t>
  </si>
  <si>
    <t>PAYROLL</t>
  </si>
  <si>
    <t>Consolidated IC Check - 1460</t>
  </si>
  <si>
    <t>13??1460</t>
  </si>
  <si>
    <t>Assets</t>
  </si>
  <si>
    <t>Property, Plant &amp; Equipment</t>
  </si>
  <si>
    <t>Plant in service</t>
  </si>
  <si>
    <t>Plant in service (detail in PowerPlan)</t>
  </si>
  <si>
    <t>10101010</t>
  </si>
  <si>
    <t>See separate tab</t>
  </si>
  <si>
    <t>Land &amp; Land Rights</t>
  </si>
  <si>
    <t>10103890</t>
  </si>
  <si>
    <t>Structures &amp; Improvements</t>
  </si>
  <si>
    <t>10103900</t>
  </si>
  <si>
    <t>Office Furniture &amp; Equipment</t>
  </si>
  <si>
    <t>10103910</t>
  </si>
  <si>
    <t>Computer Hardware</t>
  </si>
  <si>
    <t>10103912</t>
  </si>
  <si>
    <t>Furniture &amp; Fixtures</t>
  </si>
  <si>
    <t>10103913</t>
  </si>
  <si>
    <t>System Software</t>
  </si>
  <si>
    <t>10103914</t>
  </si>
  <si>
    <t>Transportation Equip-Cars</t>
  </si>
  <si>
    <t>10103921</t>
  </si>
  <si>
    <t>Transportation Equip-Light Duty Trucks/Vans</t>
  </si>
  <si>
    <t>10103922</t>
  </si>
  <si>
    <t>Communication Equipment</t>
  </si>
  <si>
    <t>10103970</t>
  </si>
  <si>
    <t>Miscellaneous Equipment</t>
  </si>
  <si>
    <t>10103980</t>
  </si>
  <si>
    <t>Other Tangible Property</t>
  </si>
  <si>
    <t>10103990</t>
  </si>
  <si>
    <t>Completed Construction Not Classified</t>
  </si>
  <si>
    <t>10601060</t>
  </si>
  <si>
    <t>-</t>
  </si>
  <si>
    <t>Total plant in service</t>
  </si>
  <si>
    <t>CWIP</t>
  </si>
  <si>
    <t>CWIP - Construction Work in Progress</t>
  </si>
  <si>
    <t>10701070</t>
  </si>
  <si>
    <t>Total CWIP</t>
  </si>
  <si>
    <t>Accum depr &amp; amort (incl RWIP)</t>
  </si>
  <si>
    <t>Accumulated Depreciation</t>
  </si>
  <si>
    <t>10801080</t>
  </si>
  <si>
    <t>10803900</t>
  </si>
  <si>
    <t>10803910</t>
  </si>
  <si>
    <t>10803912</t>
  </si>
  <si>
    <t>10803913</t>
  </si>
  <si>
    <t>10803914</t>
  </si>
  <si>
    <t>10803921</t>
  </si>
  <si>
    <t>10803922</t>
  </si>
  <si>
    <t>10803970</t>
  </si>
  <si>
    <t>10803980</t>
  </si>
  <si>
    <t>10803990</t>
  </si>
  <si>
    <t>Cost Pool Clearing - Facilities</t>
  </si>
  <si>
    <t>108F1080</t>
  </si>
  <si>
    <t>Cost Pool Clearing - Vehicles</t>
  </si>
  <si>
    <t>108V1080</t>
  </si>
  <si>
    <t>Cost Pool Cleairng Offset</t>
  </si>
  <si>
    <t>108Z1080</t>
  </si>
  <si>
    <t>Total accum depr &amp; amort (incl RWIP)</t>
  </si>
  <si>
    <t>Total property, plant &amp; equipment</t>
  </si>
  <si>
    <t>Investments</t>
  </si>
  <si>
    <t>Investment in subsidiaries</t>
  </si>
  <si>
    <t>FPU Electric - Investment in Associated Companies</t>
  </si>
  <si>
    <t>10FE1230</t>
  </si>
  <si>
    <t>FloGas - Investment in Sub</t>
  </si>
  <si>
    <t>10FF1231</t>
  </si>
  <si>
    <t>FPU Indiantown Natural Gas - Investment in Associated Companies</t>
  </si>
  <si>
    <t>10FI1230</t>
  </si>
  <si>
    <t>FPU M&amp;J - Investment in Associated Companies</t>
  </si>
  <si>
    <t>10FM1230</t>
  </si>
  <si>
    <t>FPU Natural Gas - Investment in Associated Companies</t>
  </si>
  <si>
    <t>10FN1230</t>
  </si>
  <si>
    <t>Ft. Meade - Investment in Associated Companies</t>
  </si>
  <si>
    <t>10FT1230</t>
  </si>
  <si>
    <t>Total investment in subsidiaries</t>
  </si>
  <si>
    <t>Total investments</t>
  </si>
  <si>
    <t>Current Assets</t>
  </si>
  <si>
    <t>Cash &amp; cash equivalents</t>
  </si>
  <si>
    <t>General Disbursements-Citizens - Cash - NO DRILLDOWN</t>
  </si>
  <si>
    <t>111C1310</t>
  </si>
  <si>
    <t>General Disbursements-Citizens - Cash Secondary Account - NO DRILLDOWN</t>
  </si>
  <si>
    <t>111C1311</t>
  </si>
  <si>
    <t>General Disbursements - Cash</t>
  </si>
  <si>
    <t>11101312</t>
  </si>
  <si>
    <t>Depository Account - Cash</t>
  </si>
  <si>
    <t>11401310</t>
  </si>
  <si>
    <t>ADJ. FOR OUTSTANDING CHECKS</t>
  </si>
  <si>
    <t>Total cash &amp; cash equivalents</t>
  </si>
  <si>
    <t>Trade receivables</t>
  </si>
  <si>
    <t>Accounts Receivable - Accounts Receivable</t>
  </si>
  <si>
    <t>12201420</t>
  </si>
  <si>
    <t>Misc. Customer Accounts Receivable - Accounts Receivable</t>
  </si>
  <si>
    <t>12771420</t>
  </si>
  <si>
    <t>Accounts Receivable Credits - Accounts Receivable</t>
  </si>
  <si>
    <t>12CR1420</t>
  </si>
  <si>
    <t>Total trade receivables</t>
  </si>
  <si>
    <t>Other receivables</t>
  </si>
  <si>
    <t>Employee Receivables - Other Accounts Receivable</t>
  </si>
  <si>
    <t>12901430</t>
  </si>
  <si>
    <t>Miscellaneous Accounts Receivable - Other Accounts Receivable</t>
  </si>
  <si>
    <t>12991430</t>
  </si>
  <si>
    <t>Total other receivables</t>
  </si>
  <si>
    <t>IC receivable (payable) - NO DRILLDOWN</t>
  </si>
  <si>
    <t>IC with Delmarva Natural Gas</t>
  </si>
  <si>
    <t>13101460</t>
  </si>
  <si>
    <t>IC with Delmarva Propane</t>
  </si>
  <si>
    <t>13201460</t>
  </si>
  <si>
    <t>IC with Florida</t>
  </si>
  <si>
    <t>13301460</t>
  </si>
  <si>
    <t>IC with FPU Alloc Group</t>
  </si>
  <si>
    <t>13401460</t>
  </si>
  <si>
    <t>IC with Whse (4001)</t>
  </si>
  <si>
    <t>134W1460</t>
  </si>
  <si>
    <t>IC with Corporate</t>
  </si>
  <si>
    <t>13601460</t>
  </si>
  <si>
    <t>IC with Aspire Energy of Ohio, LLC</t>
  </si>
  <si>
    <t>13A11460</t>
  </si>
  <si>
    <t>IC with Central Florida Gas</t>
  </si>
  <si>
    <t>13CF1460</t>
  </si>
  <si>
    <t>IC with Marlin Compression (CNG)</t>
  </si>
  <si>
    <t>13CN1460</t>
  </si>
  <si>
    <t>IC with CU</t>
  </si>
  <si>
    <t>13CU1460</t>
  </si>
  <si>
    <t>IC with Delaware Division</t>
  </si>
  <si>
    <t>13DE1460</t>
  </si>
  <si>
    <t>IC with Eight Flags</t>
  </si>
  <si>
    <t>13EF1460</t>
  </si>
  <si>
    <t>IC with Elkton Gas</t>
  </si>
  <si>
    <t>13EK1460</t>
  </si>
  <si>
    <t>IC with Eastern Shore</t>
  </si>
  <si>
    <t>13ES1460</t>
  </si>
  <si>
    <t>IC with FPU Corporate (Parent)</t>
  </si>
  <si>
    <t>13FC1460</t>
  </si>
  <si>
    <t>IC with FPU Electric</t>
  </si>
  <si>
    <t>13FE1460</t>
  </si>
  <si>
    <t>IC with Flo-Gas</t>
  </si>
  <si>
    <t>13FF1460</t>
  </si>
  <si>
    <t>IC with Florida CGS</t>
  </si>
  <si>
    <t>13FG1460</t>
  </si>
  <si>
    <t>IC with FPU Indiantown</t>
  </si>
  <si>
    <t>13FI1460</t>
  </si>
  <si>
    <t>IC with FPU M&amp;J</t>
  </si>
  <si>
    <t>13FM1460</t>
  </si>
  <si>
    <t>IC with FPU Natural Gas</t>
  </si>
  <si>
    <t>13FN1460</t>
  </si>
  <si>
    <t>IC with Ft. Meade</t>
  </si>
  <si>
    <t>13FT1460</t>
  </si>
  <si>
    <t>IC with Blue Peake LNG</t>
  </si>
  <si>
    <t>13LN1460</t>
  </si>
  <si>
    <t>IC with Maryland Division</t>
  </si>
  <si>
    <t>13MD1460</t>
  </si>
  <si>
    <t>IC with Marlin</t>
  </si>
  <si>
    <t>13MS1460</t>
  </si>
  <si>
    <t>IC with PIPECO</t>
  </si>
  <si>
    <t>13PC1460</t>
  </si>
  <si>
    <t>IC with PESCO</t>
  </si>
  <si>
    <t>13PS1460</t>
  </si>
  <si>
    <t>IC with Amelia Renewables (RNG)</t>
  </si>
  <si>
    <t>13RN1460</t>
  </si>
  <si>
    <t>IC with Sharp CGS</t>
  </si>
  <si>
    <t>13SC1460</t>
  </si>
  <si>
    <t>IC with Sharp Energy</t>
  </si>
  <si>
    <t>13SE1460</t>
  </si>
  <si>
    <t>IC with Sharp Florida</t>
  </si>
  <si>
    <t>13SF1460</t>
  </si>
  <si>
    <t>IC with Sharpgas</t>
  </si>
  <si>
    <t>13SG1460</t>
  </si>
  <si>
    <t>IC with Skipjack</t>
  </si>
  <si>
    <t>13SK1460</t>
  </si>
  <si>
    <t>IC with Sandpiper (Worcester County)</t>
  </si>
  <si>
    <t>13WC1460</t>
  </si>
  <si>
    <t>Total IC receivable (payable)</t>
  </si>
  <si>
    <t>Prepaid expenses</t>
  </si>
  <si>
    <t>Prepaid Insurance - Prepayments</t>
  </si>
  <si>
    <t>15101650</t>
  </si>
  <si>
    <t>Prepaid Maintenance - Prepayments</t>
  </si>
  <si>
    <t>15201650</t>
  </si>
  <si>
    <t>Total prepaid expenses</t>
  </si>
  <si>
    <t>Other current assets</t>
  </si>
  <si>
    <t>Retentions - Prepayments</t>
  </si>
  <si>
    <t>15801650</t>
  </si>
  <si>
    <t>Total other current assets</t>
  </si>
  <si>
    <t>Total current assets</t>
  </si>
  <si>
    <t>Deferred Charges &amp; Other Assets</t>
  </si>
  <si>
    <t>Regulatory assets</t>
  </si>
  <si>
    <t>Regulatory Asset - Unamortized Loss on Reacquired Debt</t>
  </si>
  <si>
    <t>17991890</t>
  </si>
  <si>
    <t>Total regulatory assets</t>
  </si>
  <si>
    <t>Operating lease assets</t>
  </si>
  <si>
    <t>Operating Lease-RoU Asset 101.1 - Capital Leases</t>
  </si>
  <si>
    <t>101L1011</t>
  </si>
  <si>
    <t>Plant</t>
  </si>
  <si>
    <t>Lease Amort-RoU Asset 101.1 - Capital Leases</t>
  </si>
  <si>
    <t>108L1011</t>
  </si>
  <si>
    <t>Total operating lease assets</t>
  </si>
  <si>
    <t>Total deferred charges &amp; other assets</t>
  </si>
  <si>
    <t>Total Assets</t>
  </si>
  <si>
    <t>=</t>
  </si>
  <si>
    <t>Capitalization &amp; Liabilities</t>
  </si>
  <si>
    <t>Current Liabilities</t>
  </si>
  <si>
    <t>Accounts payable</t>
  </si>
  <si>
    <t>AP Hand Accrual - Accounts Payable</t>
  </si>
  <si>
    <t>21002320</t>
  </si>
  <si>
    <t>Accounts Payable - NO DRILLDOWN</t>
  </si>
  <si>
    <t>21022320</t>
  </si>
  <si>
    <t>Accounts Payable Credit Card - Accounts Payable</t>
  </si>
  <si>
    <t>21032320</t>
  </si>
  <si>
    <t>United Way Payable/Withholding - Accounts Payable</t>
  </si>
  <si>
    <t>21412320</t>
  </si>
  <si>
    <t>Garnishments Payable/Witholding - Accounts Payable</t>
  </si>
  <si>
    <t>21422320</t>
  </si>
  <si>
    <t>Union Dues Payable/Witholding - Accounts Payable</t>
  </si>
  <si>
    <t>21442320</t>
  </si>
  <si>
    <t>Refunds-Cust Deposits/Overpay - Accounts Payable</t>
  </si>
  <si>
    <t>21702320</t>
  </si>
  <si>
    <t>Accounts Payable Clearing-Leases - Accounts Payable</t>
  </si>
  <si>
    <t>21LS2320</t>
  </si>
  <si>
    <t>Total accounts payable</t>
  </si>
  <si>
    <t>Customer deposits &amp; refunds</t>
  </si>
  <si>
    <t>Customer Deposits-Unclaimed Refunds - Customer Deposits</t>
  </si>
  <si>
    <t>22112350</t>
  </si>
  <si>
    <t>A/R Refunds Payable - Customer Deposits</t>
  </si>
  <si>
    <t>22CR2350</t>
  </si>
  <si>
    <t>Total customer deposits &amp; refunds</t>
  </si>
  <si>
    <t>Income taxes</t>
  </si>
  <si>
    <t>State - Prepaid - Current</t>
  </si>
  <si>
    <t>24012364</t>
  </si>
  <si>
    <t>State - Accrued - Current</t>
  </si>
  <si>
    <t>24012365</t>
  </si>
  <si>
    <t>ADIT Offset to Current - Accrued - Current</t>
  </si>
  <si>
    <t>24102365</t>
  </si>
  <si>
    <t>Federal - Accrued - Current</t>
  </si>
  <si>
    <t>24202365</t>
  </si>
  <si>
    <t>FL - Accrued - Current</t>
  </si>
  <si>
    <t>24FL2365</t>
  </si>
  <si>
    <t>FL - Accrued - Prior</t>
  </si>
  <si>
    <t>24FL2367</t>
  </si>
  <si>
    <t>Total income taxes</t>
  </si>
  <si>
    <t>Accrued compensation</t>
  </si>
  <si>
    <t>Accrued Payroll - Misc Current &amp; Accrued Liabilities</t>
  </si>
  <si>
    <t>27102420</t>
  </si>
  <si>
    <t>Accrued PTO - Misc Current &amp; Accrued Liabilities</t>
  </si>
  <si>
    <t>27112420</t>
  </si>
  <si>
    <t>Accrued Bonus - Misc Current &amp; Accrued Liabilities</t>
  </si>
  <si>
    <t>27142420</t>
  </si>
  <si>
    <t>Accrued Severance - Misc Current &amp; Accrued Liabilities</t>
  </si>
  <si>
    <t>27162420</t>
  </si>
  <si>
    <t>Total accrued compensation</t>
  </si>
  <si>
    <t>Other accrued liabilities</t>
  </si>
  <si>
    <t>Accrued OPRB (Current) - Accum Provision for Pensions &amp; Benefits</t>
  </si>
  <si>
    <t>27332283</t>
  </si>
  <si>
    <t>Operating Lease Liability - Capital Lease Obligations-Current</t>
  </si>
  <si>
    <t>27772430</t>
  </si>
  <si>
    <t>Federal &amp; FICA Withholding - Tax Collections Payable</t>
  </si>
  <si>
    <t>27902410</t>
  </si>
  <si>
    <t>FUTA - Tax Collections Payable</t>
  </si>
  <si>
    <t>27952410</t>
  </si>
  <si>
    <t>FL Taxes Other - SUTA</t>
  </si>
  <si>
    <t>27FL2411</t>
  </si>
  <si>
    <t>GA Taxes Other - Pyrl Tx Withholding</t>
  </si>
  <si>
    <t>27GA2412</t>
  </si>
  <si>
    <t>Total other accrued liabilities</t>
  </si>
  <si>
    <t>Total current liabilities</t>
  </si>
  <si>
    <t>Deferred Credits &amp; Other Liabilities</t>
  </si>
  <si>
    <t>Deferred income taxes (non-current)</t>
  </si>
  <si>
    <t>Capital</t>
  </si>
  <si>
    <t>ADIT Federal - Property</t>
  </si>
  <si>
    <t>25002820</t>
  </si>
  <si>
    <t>ADIT Federal - Other</t>
  </si>
  <si>
    <t>25002830</t>
  </si>
  <si>
    <t>ADIT State - Property</t>
  </si>
  <si>
    <t>25012820</t>
  </si>
  <si>
    <t>ADIT State - Other</t>
  </si>
  <si>
    <t>25012830</t>
  </si>
  <si>
    <t>Bonus - Other</t>
  </si>
  <si>
    <t>25BN2831</t>
  </si>
  <si>
    <t>Depreciation - Property</t>
  </si>
  <si>
    <t>25DP2822</t>
  </si>
  <si>
    <t>Insurance Deductibles - Other</t>
  </si>
  <si>
    <t>25ID2831</t>
  </si>
  <si>
    <t>Leases - Other</t>
  </si>
  <si>
    <t>25LS2832</t>
  </si>
  <si>
    <t>Misc Reserves - Other</t>
  </si>
  <si>
    <t>25MR2831</t>
  </si>
  <si>
    <t>Depreciation-Capitalized Overhead - Other</t>
  </si>
  <si>
    <t>25OH2832</t>
  </si>
  <si>
    <t>Pension - Other</t>
  </si>
  <si>
    <t>25PN2832</t>
  </si>
  <si>
    <t>Post-retirement Benefits - Other</t>
  </si>
  <si>
    <t>25PR2832</t>
  </si>
  <si>
    <t>Reacquired Debt - Other</t>
  </si>
  <si>
    <t>25RD2832</t>
  </si>
  <si>
    <t>Repairs - Property</t>
  </si>
  <si>
    <t>25RE2822</t>
  </si>
  <si>
    <t>Tax Rate Change - Property</t>
  </si>
  <si>
    <t>25TX2822</t>
  </si>
  <si>
    <t>Vacation - Other</t>
  </si>
  <si>
    <t>25VA2831</t>
  </si>
  <si>
    <t>Total deferred income taxes (non-current)</t>
  </si>
  <si>
    <t>Regulatory liabilities</t>
  </si>
  <si>
    <t>Regulatory Liability Tax Rate Change - Othr Reg Liab-Not Protected</t>
  </si>
  <si>
    <t>280R254N</t>
  </si>
  <si>
    <t>Regulatory Liability Tax Rate Change - Othr Reg Liab-Protected</t>
  </si>
  <si>
    <t>280R254P</t>
  </si>
  <si>
    <t>Total regulatory liabilities</t>
  </si>
  <si>
    <t>Other pension &amp; benefit costs</t>
  </si>
  <si>
    <t>Accrued Pensions - Accum Provision for Pensions &amp; Benefits</t>
  </si>
  <si>
    <t>29002283</t>
  </si>
  <si>
    <t>Other Post Retirement Benefits - Accum Provision for Pensions &amp; Benefits</t>
  </si>
  <si>
    <t>29202283</t>
  </si>
  <si>
    <t>OPRB-Retiree Claims - Accum Provision for Pensions &amp; Benefits</t>
  </si>
  <si>
    <t>29212283</t>
  </si>
  <si>
    <t>OPRB-Retiree Admin Fees - Accum Provision for Pensions &amp; Benefits</t>
  </si>
  <si>
    <t>29222283</t>
  </si>
  <si>
    <t>OPRB-Retiree Life Ins - Accum Provision for Pensions &amp; Benefits</t>
  </si>
  <si>
    <t>29232283</t>
  </si>
  <si>
    <t>OPRB-Retiree Contributions - Accum Provision for Pensions &amp; Benefits</t>
  </si>
  <si>
    <t>29242283</t>
  </si>
  <si>
    <t>Total other pension &amp; benefit costs</t>
  </si>
  <si>
    <t>Operating lease liabilities</t>
  </si>
  <si>
    <t>Operating Lease Liability - Capital Lease Obligations-Non Current</t>
  </si>
  <si>
    <t>29802270</t>
  </si>
  <si>
    <t>Total deferred credits &amp; other liabilities</t>
  </si>
  <si>
    <t>Capitalization</t>
  </si>
  <si>
    <t>Stockholders' equity</t>
  </si>
  <si>
    <t>Accum Other Comprehensive Inc (Ret Earn) - Retained Earnings</t>
  </si>
  <si>
    <t>33152160</t>
  </si>
  <si>
    <t>Retained Earnings (Auto) - NO DRILLDOWN</t>
  </si>
  <si>
    <t>34002160</t>
  </si>
  <si>
    <t>Retained Earnings (Beg Bal/Manual) - Retained Earnings</t>
  </si>
  <si>
    <t>34102160</t>
  </si>
  <si>
    <t>Total stockholders' equity</t>
  </si>
  <si>
    <t>Total Capitalization</t>
  </si>
  <si>
    <t>Total Capitalization &amp; Liabilities</t>
  </si>
  <si>
    <t>REG-BS13MON</t>
  </si>
  <si>
    <t>02/02/22</t>
  </si>
  <si>
    <t xml:space="preserve"> </t>
  </si>
  <si>
    <t>Bal Sheet -- 13 Mo. Avg.</t>
  </si>
  <si>
    <t>02:04 PM</t>
  </si>
  <si>
    <t>Florida Public Utilities</t>
  </si>
  <si>
    <t>Schedule of Common Plant and Common Reserve Allocations</t>
  </si>
  <si>
    <t>Allocation</t>
  </si>
  <si>
    <t>Account Name</t>
  </si>
  <si>
    <t>G/L Accounts</t>
  </si>
  <si>
    <t>Allocation Method</t>
  </si>
  <si>
    <t>13 Mo Avg</t>
  </si>
  <si>
    <t>Corp CWIP</t>
  </si>
  <si>
    <t>Common Plant</t>
  </si>
  <si>
    <t>EDP Equipment</t>
  </si>
  <si>
    <t>EDP Equip</t>
  </si>
  <si>
    <t>Power Plan</t>
  </si>
  <si>
    <t>"       "       "</t>
  </si>
  <si>
    <t>Land</t>
  </si>
  <si>
    <t>Structures and Improvements</t>
  </si>
  <si>
    <t>Office machines</t>
  </si>
  <si>
    <t>Office Furniture and Equipment</t>
  </si>
  <si>
    <t>Software</t>
  </si>
  <si>
    <t>Transportation Equipment-Cars</t>
  </si>
  <si>
    <t>Transportation Equipment-Light Trucks</t>
  </si>
  <si>
    <t>Miscellaneous Tangible Assets</t>
  </si>
  <si>
    <t>Completed Not Classified</t>
  </si>
  <si>
    <t>1060-1060</t>
  </si>
  <si>
    <t>Common Reserve</t>
  </si>
  <si>
    <t>Accum. Depreciation-Power Plan</t>
  </si>
  <si>
    <t>Remain. Common</t>
  </si>
  <si>
    <t>Accum. Depreciation-Structures and Improvements</t>
  </si>
  <si>
    <t>Accum. Depreciation-Office machines</t>
  </si>
  <si>
    <t>Accum. Depreciation-EDP Equipment</t>
  </si>
  <si>
    <t>Accum. Depreciation-Office Furniture &amp; Equipment</t>
  </si>
  <si>
    <t>Reserve Software</t>
  </si>
  <si>
    <t>Accum. Depreciation-Transport. Cars</t>
  </si>
  <si>
    <t>Accum. Depreciation-Transport. Trucks</t>
  </si>
  <si>
    <t>Accum. Depreciation-Communication Equipment</t>
  </si>
  <si>
    <t>Accum. Depreciation -Miscellaneous Equipment</t>
  </si>
  <si>
    <t>Accum. Depreciation Miscellaneous Tangible Assets</t>
  </si>
  <si>
    <t>13 mo. Avg.</t>
  </si>
  <si>
    <t>FPU-Natural Gas</t>
  </si>
  <si>
    <t>Common Plant at Florida Allocation</t>
  </si>
  <si>
    <t>CWIP at Florida Allocation</t>
  </si>
  <si>
    <t>Common Reserve at Florida Allocation</t>
  </si>
  <si>
    <t>FPU-Electric</t>
  </si>
  <si>
    <t>CWIP at Total Corporate Allocation</t>
  </si>
  <si>
    <t>CFG</t>
  </si>
  <si>
    <t>FPU-Indiantown</t>
  </si>
  <si>
    <t>Negative due to imbalance</t>
  </si>
  <si>
    <t>Ft. Meade</t>
  </si>
  <si>
    <t>Non-Utility</t>
  </si>
  <si>
    <t>Sum of 1/31/2021</t>
  </si>
  <si>
    <t>Sum of 2/28/2021</t>
  </si>
  <si>
    <t>Sum of 3/31/2021</t>
  </si>
  <si>
    <t>Sum of 4/30/2021</t>
  </si>
  <si>
    <t>Sum of 5/31/2021</t>
  </si>
  <si>
    <t>Sum of 6/30/2021</t>
  </si>
  <si>
    <t>Sum of 7/31/2021</t>
  </si>
  <si>
    <t>Sum of 8/31/2021</t>
  </si>
  <si>
    <t>Sum of 9/30/2021</t>
  </si>
  <si>
    <t>Sum of 10/31/2021</t>
  </si>
  <si>
    <t>Sum of 11/30/2021</t>
  </si>
  <si>
    <t>Sum of 12/31/2021</t>
  </si>
  <si>
    <t>1-3890 - Land &amp; Land Rights</t>
  </si>
  <si>
    <t>1-3900 - Struc&amp;Impr</t>
  </si>
  <si>
    <t>1-3910 - Offc Furn &amp; Eq</t>
  </si>
  <si>
    <t>1-3912 - Comp Hdwr</t>
  </si>
  <si>
    <t>1-3913 - Furn &amp; Fix</t>
  </si>
  <si>
    <t>1-3914 - Sys Sftwr</t>
  </si>
  <si>
    <t>1-3921 - Cars</t>
  </si>
  <si>
    <t>1-3922 - Lt Truck/Van</t>
  </si>
  <si>
    <t>1-3970 - Comm Eq</t>
  </si>
  <si>
    <t>1-3980 - Misc Equip</t>
  </si>
  <si>
    <t>Grand Total</t>
  </si>
  <si>
    <t>with vehicles</t>
  </si>
  <si>
    <t>Less Vehicles</t>
  </si>
  <si>
    <t>921 Depreciation</t>
  </si>
  <si>
    <t>without vehicles</t>
  </si>
  <si>
    <t>FC Depreciation expense excluding vehicles was moved from 921 to 4030</t>
  </si>
  <si>
    <t>Account</t>
  </si>
  <si>
    <t>Corporate and Skipjack Allocations</t>
  </si>
  <si>
    <t>Distrigas  by Dept.</t>
  </si>
  <si>
    <t>Distrigas</t>
  </si>
  <si>
    <t xml:space="preserve">Plant </t>
  </si>
  <si>
    <t>Chesapeake Parent Company General</t>
  </si>
  <si>
    <t>1-3010 - Organization</t>
  </si>
  <si>
    <t>1-3901 - Lshold Impr</t>
  </si>
  <si>
    <t>1-3911 - Comp &amp; Periph</t>
  </si>
  <si>
    <t>1-391S - Alloc Sys Sftwr</t>
  </si>
  <si>
    <t>Skipjack Inc</t>
  </si>
  <si>
    <t>Depreciation Expense:</t>
  </si>
  <si>
    <t>Skipjack Inc ( Do not include Structures, Transporttion Equipment</t>
  </si>
  <si>
    <t>Depreciation expense moved from 921 to 4030</t>
  </si>
  <si>
    <t>Total not equal to 100%</t>
  </si>
  <si>
    <t>FPU Electric no allocation for Common Reserve at FL Allocation</t>
  </si>
  <si>
    <t>Why negative allocation for FPU-Indiantown</t>
  </si>
  <si>
    <t>Obtain Information from FNPA and reconcile to GL 7785-9210 and Power Plan Depreciation Expense:</t>
  </si>
  <si>
    <t>CF</t>
  </si>
  <si>
    <t>FE</t>
  </si>
  <si>
    <t>FI</t>
  </si>
  <si>
    <t>FN</t>
  </si>
  <si>
    <t xml:space="preserve">FT </t>
  </si>
  <si>
    <t>All Other Utilities</t>
  </si>
  <si>
    <t>Allocation Basis</t>
  </si>
  <si>
    <t>Related to FC Based on Depreciation Expense:</t>
  </si>
  <si>
    <t>Clear OB 453 Yulee in 7785-9210</t>
  </si>
  <si>
    <t>Based on Usage Departments</t>
  </si>
  <si>
    <t>A</t>
  </si>
  <si>
    <t>Clear OB 780 Ecoplex in 7785-9210</t>
  </si>
  <si>
    <t>AA700 Software Imbalance in 7785-9210</t>
  </si>
  <si>
    <t>Depreciation Study</t>
  </si>
  <si>
    <t>CU-91-IT806-7700 IT imbalance plus IT costs</t>
  </si>
  <si>
    <t>IT Corporate Allocation %'s</t>
  </si>
  <si>
    <t>Total FC depreciation</t>
  </si>
  <si>
    <t>IT depreciation charged as vehicles</t>
  </si>
  <si>
    <t>Not booked-have to reduce op expenses for this</t>
  </si>
  <si>
    <t>Allocation Factor FC</t>
  </si>
  <si>
    <t>Vehicles allocated based on departments</t>
  </si>
  <si>
    <t>FC with vehicles</t>
  </si>
  <si>
    <t>Per Lauren's Depreciation Expense</t>
  </si>
  <si>
    <t>OB 780 Corporate</t>
  </si>
  <si>
    <t>OB 780 Skipjack</t>
  </si>
  <si>
    <t>Sum of A's should total 7785-9210's</t>
  </si>
  <si>
    <t>Two Above are included below and tie to Val's schedule:</t>
  </si>
  <si>
    <t>CU90 Asset Dep allocated to BU's</t>
  </si>
  <si>
    <t>Tie to Lauren's Schedule</t>
  </si>
  <si>
    <t>Skipjack Asset Dep allocated to BU's</t>
  </si>
  <si>
    <t>2022</t>
  </si>
  <si>
    <t>Adjust for forecast</t>
  </si>
  <si>
    <t>Adjust for plant and ad forecast</t>
  </si>
  <si>
    <t>December 31, 2022 Projection</t>
  </si>
  <si>
    <t>December 31, 2023 Projection</t>
  </si>
  <si>
    <t>2023</t>
  </si>
  <si>
    <t>To MFR G2-22 Corporate</t>
  </si>
  <si>
    <t>390</t>
  </si>
  <si>
    <t xml:space="preserve">STRUCTURES &amp; IMPROVEMENTS </t>
  </si>
  <si>
    <t>LEASEHOLD IMPROVEMENTS</t>
  </si>
  <si>
    <t>OFFICE FURN &amp; EQUIPMENT</t>
  </si>
  <si>
    <t>COMPUTERS &amp; PERIPHERALS</t>
  </si>
  <si>
    <t>COMPUTER HARDWARE</t>
  </si>
  <si>
    <t>FURNITURE AND FIXTURES</t>
  </si>
  <si>
    <t>SYSTEM SOFTWARE</t>
  </si>
  <si>
    <t>397</t>
  </si>
  <si>
    <t>COMPUTER EQUIPMENT</t>
  </si>
  <si>
    <t>To MFR G2-25 Corporate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</si>
</sst>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0.0%"/>
    <numFmt numFmtId="166" formatCode="&quot;$&quot;#,###,##0;\(&quot;$&quot;#,###,##0\)"/>
    <numFmt numFmtId="167" formatCode="_(* #,##0_);_(* \(#,##0\);_(* &quot;-&quot;??_);_(@_)"/>
    <numFmt numFmtId="168" formatCode="#,###,##0;\(#,###,##0\)"/>
    <numFmt numFmtId="169" formatCode="_(* #,##0_);_(* \(\ #,##0\ \);_(* &quot;-&quot;??_);_(\ @_ \)"/>
    <numFmt numFmtId="170" formatCode="0.0000%"/>
    <numFmt numFmtId="171" formatCode="0.000%"/>
    <numFmt numFmtId="172" formatCode="#,##0_);[Red]\(#,##0\);&quot; &quot;"/>
    <numFmt numFmtId="173" formatCode="#,##0_)"/>
    <numFmt numFmtId="174" formatCode="[$-409]d\-mmm;@"/>
    <numFmt numFmtId="175" formatCode="_(* #,##0.0000_);_(* \(#,##0.00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0"/>
      <name val="Arial Black"/>
      <family val="2"/>
    </font>
    <font>
      <sz val="10"/>
      <color indexed="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2"/>
      <color indexed="0"/>
      <name val="Arial Black"/>
      <family val="2"/>
    </font>
    <font>
      <sz val="10"/>
      <name val="Arial"/>
      <family val="2"/>
    </font>
    <font>
      <b/>
      <sz val="8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b/>
      <sz val="10"/>
      <color indexed="0"/>
      <name val="Arial"/>
      <family val="2"/>
    </font>
    <font>
      <sz val="12"/>
      <color indexed="0"/>
      <name val="Arial Black"/>
      <family val="2"/>
    </font>
    <font>
      <b/>
      <sz val="10"/>
      <name val="Arial Black"/>
      <family val="2"/>
    </font>
    <font>
      <sz val="10"/>
      <color indexed="0"/>
      <name val="Arial Blac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i/>
      <sz val="8"/>
      <color rgb="FF0000FF"/>
      <name val="Calibri"/>
      <family val="2"/>
      <scheme val="minor"/>
    </font>
    <font>
      <i/>
      <sz val="8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Calibri"/>
      <family val="2"/>
    </font>
    <font>
      <sz val="12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" fillId="0" borderId="0"/>
    <xf numFmtId="0" fontId="1" fillId="0" borderId="0"/>
    <xf numFmtId="168" fontId="4" fillId="0" borderId="0"/>
    <xf numFmtId="0" fontId="1" fillId="0" borderId="0"/>
    <xf numFmtId="0" fontId="27" fillId="0" borderId="0"/>
    <xf numFmtId="44" fontId="1" fillId="0" borderId="0" applyFont="0" applyFill="0" applyBorder="0" applyAlignment="0" applyProtection="0"/>
  </cellStyleXfs>
  <cellXfs count="167">
    <xf numFmtId="0" fontId="0" fillId="0" borderId="0" xfId="0"/>
    <xf numFmtId="0" fontId="3" fillId="0" borderId="0" xfId="0" applyFont="1" applyAlignment="1">
      <alignment horizontal="left"/>
    </xf>
    <xf numFmtId="164" fontId="4" fillId="0" borderId="0" xfId="2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10" fontId="9" fillId="0" borderId="0" xfId="3" applyNumberFormat="1" applyFont="1" applyFill="1" applyAlignment="1">
      <alignment horizontal="center"/>
    </xf>
    <xf numFmtId="0" fontId="10" fillId="0" borderId="0" xfId="0" applyFont="1" applyFill="1"/>
    <xf numFmtId="165" fontId="9" fillId="0" borderId="0" xfId="3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49" fontId="4" fillId="0" borderId="0" xfId="2" applyNumberFormat="1" applyAlignment="1">
      <alignment horizontal="center"/>
    </xf>
    <xf numFmtId="49" fontId="4" fillId="0" borderId="1" xfId="2" applyNumberFormat="1" applyBorder="1" applyAlignment="1">
      <alignment horizontal="center"/>
    </xf>
    <xf numFmtId="49" fontId="11" fillId="0" borderId="1" xfId="2" applyNumberFormat="1" applyFont="1" applyBorder="1" applyAlignment="1">
      <alignment horizontal="center"/>
    </xf>
    <xf numFmtId="0" fontId="0" fillId="0" borderId="0" xfId="0" applyAlignment="1">
      <alignment horizontal="left"/>
    </xf>
    <xf numFmtId="166" fontId="4" fillId="0" borderId="0" xfId="2" applyNumberFormat="1"/>
    <xf numFmtId="167" fontId="5" fillId="0" borderId="0" xfId="4" applyNumberFormat="1" applyFont="1" applyFill="1"/>
    <xf numFmtId="0" fontId="7" fillId="0" borderId="0" xfId="0" applyFont="1"/>
    <xf numFmtId="164" fontId="7" fillId="0" borderId="0" xfId="2" applyFont="1"/>
    <xf numFmtId="0" fontId="12" fillId="0" borderId="0" xfId="0" applyFont="1" applyAlignment="1">
      <alignment horizontal="left"/>
    </xf>
    <xf numFmtId="0" fontId="12" fillId="0" borderId="0" xfId="0" applyFont="1"/>
    <xf numFmtId="164" fontId="12" fillId="0" borderId="0" xfId="2" applyFont="1"/>
    <xf numFmtId="0" fontId="11" fillId="0" borderId="0" xfId="0" applyFont="1" applyAlignment="1">
      <alignment horizontal="left"/>
    </xf>
    <xf numFmtId="0" fontId="11" fillId="0" borderId="0" xfId="0" applyFont="1"/>
    <xf numFmtId="164" fontId="11" fillId="0" borderId="0" xfId="2" applyFont="1"/>
    <xf numFmtId="168" fontId="4" fillId="0" borderId="0" xfId="5" applyFill="1"/>
    <xf numFmtId="167" fontId="10" fillId="0" borderId="0" xfId="4" applyNumberFormat="1" applyFont="1" applyFill="1"/>
    <xf numFmtId="49" fontId="4" fillId="0" borderId="0" xfId="2" applyNumberFormat="1" applyAlignment="1">
      <alignment horizontal="fill"/>
    </xf>
    <xf numFmtId="167" fontId="5" fillId="0" borderId="0" xfId="0" applyNumberFormat="1" applyFont="1" applyFill="1"/>
    <xf numFmtId="0" fontId="13" fillId="2" borderId="0" xfId="0" applyFont="1" applyFill="1" applyAlignment="1">
      <alignment horizontal="left"/>
    </xf>
    <xf numFmtId="164" fontId="13" fillId="2" borderId="0" xfId="2" applyFont="1" applyFill="1"/>
    <xf numFmtId="0" fontId="1" fillId="0" borderId="0" xfId="6" applyFill="1" applyAlignment="1">
      <alignment horizontal="left"/>
    </xf>
    <xf numFmtId="0" fontId="0" fillId="0" borderId="0" xfId="0" applyFill="1" applyAlignment="1">
      <alignment horizontal="left"/>
    </xf>
    <xf numFmtId="169" fontId="4" fillId="0" borderId="0" xfId="4" applyNumberFormat="1" applyFont="1" applyFill="1"/>
    <xf numFmtId="167" fontId="5" fillId="3" borderId="0" xfId="4" applyNumberFormat="1" applyFont="1" applyFill="1"/>
    <xf numFmtId="0" fontId="5" fillId="3" borderId="0" xfId="0" applyFont="1" applyFill="1"/>
    <xf numFmtId="0" fontId="0" fillId="0" borderId="0" xfId="0" applyFill="1"/>
    <xf numFmtId="49" fontId="4" fillId="0" borderId="0" xfId="5" applyNumberFormat="1" applyFill="1" applyAlignment="1">
      <alignment horizontal="fill"/>
    </xf>
    <xf numFmtId="0" fontId="14" fillId="0" borderId="0" xfId="0" applyFont="1" applyFill="1" applyAlignment="1">
      <alignment horizontal="left"/>
    </xf>
    <xf numFmtId="0" fontId="14" fillId="0" borderId="0" xfId="0" applyFont="1" applyFill="1"/>
    <xf numFmtId="168" fontId="14" fillId="0" borderId="0" xfId="5" applyFont="1" applyFill="1"/>
    <xf numFmtId="0" fontId="0" fillId="0" borderId="1" xfId="0" applyBorder="1"/>
    <xf numFmtId="164" fontId="4" fillId="0" borderId="1" xfId="2" applyBorder="1"/>
    <xf numFmtId="0" fontId="12" fillId="0" borderId="2" xfId="0" applyFont="1" applyBorder="1" applyAlignment="1">
      <alignment horizontal="left"/>
    </xf>
    <xf numFmtId="0" fontId="12" fillId="0" borderId="2" xfId="0" applyFont="1" applyBorder="1"/>
    <xf numFmtId="164" fontId="12" fillId="0" borderId="2" xfId="2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164" fontId="11" fillId="0" borderId="1" xfId="2" applyFont="1" applyBorder="1"/>
    <xf numFmtId="0" fontId="0" fillId="0" borderId="2" xfId="0" applyBorder="1" applyAlignment="1">
      <alignment horizontal="left"/>
    </xf>
    <xf numFmtId="164" fontId="4" fillId="0" borderId="2" xfId="2" applyBorder="1"/>
    <xf numFmtId="0" fontId="15" fillId="0" borderId="0" xfId="0" applyFont="1" applyFill="1" applyAlignment="1">
      <alignment horizontal="left"/>
    </xf>
    <xf numFmtId="0" fontId="15" fillId="0" borderId="0" xfId="0" applyFont="1" applyFill="1"/>
    <xf numFmtId="168" fontId="15" fillId="0" borderId="0" xfId="5" applyFont="1" applyFill="1"/>
    <xf numFmtId="0" fontId="16" fillId="0" borderId="0" xfId="0" applyFont="1" applyFill="1" applyAlignment="1">
      <alignment horizontal="left"/>
    </xf>
    <xf numFmtId="0" fontId="17" fillId="0" borderId="0" xfId="0" applyFont="1" applyFill="1"/>
    <xf numFmtId="168" fontId="17" fillId="0" borderId="0" xfId="5" applyFont="1" applyFill="1"/>
    <xf numFmtId="0" fontId="1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68" fontId="8" fillId="0" borderId="0" xfId="5" applyFont="1" applyFill="1"/>
    <xf numFmtId="167" fontId="5" fillId="4" borderId="0" xfId="4" applyNumberFormat="1" applyFont="1" applyFill="1"/>
    <xf numFmtId="167" fontId="6" fillId="0" borderId="2" xfId="4" applyNumberFormat="1" applyFont="1" applyFill="1" applyBorder="1"/>
    <xf numFmtId="49" fontId="4" fillId="0" borderId="0" xfId="2" applyNumberFormat="1" applyAlignment="1">
      <alignment horizontal="right"/>
    </xf>
    <xf numFmtId="168" fontId="4" fillId="0" borderId="0" xfId="7" applyFill="1"/>
    <xf numFmtId="164" fontId="4" fillId="0" borderId="0" xfId="2" applyFill="1"/>
    <xf numFmtId="17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/>
    <xf numFmtId="167" fontId="0" fillId="0" borderId="0" xfId="4" applyNumberFormat="1" applyFont="1"/>
    <xf numFmtId="0" fontId="1" fillId="0" borderId="0" xfId="8" applyFont="1" applyAlignment="1">
      <alignment horizontal="left"/>
    </xf>
    <xf numFmtId="0" fontId="1" fillId="0" borderId="0" xfId="8" applyAlignment="1">
      <alignment horizontal="left"/>
    </xf>
    <xf numFmtId="167" fontId="0" fillId="0" borderId="2" xfId="4" applyNumberFormat="1" applyFont="1" applyBorder="1"/>
    <xf numFmtId="167" fontId="0" fillId="0" borderId="2" xfId="4" applyNumberFormat="1" applyFont="1" applyFill="1" applyBorder="1"/>
    <xf numFmtId="167" fontId="0" fillId="0" borderId="0" xfId="4" applyNumberFormat="1" applyFont="1" applyFill="1"/>
    <xf numFmtId="167" fontId="0" fillId="0" borderId="0" xfId="4" applyNumberFormat="1" applyFont="1" applyFill="1" applyBorder="1"/>
    <xf numFmtId="167" fontId="0" fillId="0" borderId="1" xfId="4" applyNumberFormat="1" applyFont="1" applyFill="1" applyBorder="1"/>
    <xf numFmtId="167" fontId="0" fillId="0" borderId="3" xfId="4" applyNumberFormat="1" applyFont="1" applyBorder="1"/>
    <xf numFmtId="167" fontId="0" fillId="5" borderId="1" xfId="4" applyNumberFormat="1" applyFont="1" applyFill="1" applyBorder="1"/>
    <xf numFmtId="167" fontId="0" fillId="6" borderId="0" xfId="4" applyNumberFormat="1" applyFont="1" applyFill="1"/>
    <xf numFmtId="167" fontId="0" fillId="0" borderId="1" xfId="4" applyNumberFormat="1" applyFont="1" applyBorder="1"/>
    <xf numFmtId="0" fontId="21" fillId="3" borderId="0" xfId="0" applyFont="1" applyFill="1" applyAlignment="1">
      <alignment horizontal="center"/>
    </xf>
    <xf numFmtId="17" fontId="20" fillId="3" borderId="0" xfId="0" applyNumberFormat="1" applyFont="1" applyFill="1" applyAlignment="1">
      <alignment horizontal="center"/>
    </xf>
    <xf numFmtId="0" fontId="0" fillId="3" borderId="0" xfId="0" applyFill="1"/>
    <xf numFmtId="0" fontId="0" fillId="0" borderId="4" xfId="0" applyBorder="1"/>
    <xf numFmtId="0" fontId="0" fillId="0" borderId="5" xfId="0" applyBorder="1"/>
    <xf numFmtId="10" fontId="0" fillId="0" borderId="5" xfId="3" applyNumberFormat="1" applyFont="1" applyBorder="1" applyAlignment="1">
      <alignment horizontal="left"/>
    </xf>
    <xf numFmtId="167" fontId="0" fillId="0" borderId="6" xfId="4" applyNumberFormat="1" applyFont="1" applyBorder="1"/>
    <xf numFmtId="167" fontId="0" fillId="0" borderId="7" xfId="4" applyNumberFormat="1" applyFont="1" applyBorder="1"/>
    <xf numFmtId="0" fontId="0" fillId="0" borderId="8" xfId="0" applyBorder="1"/>
    <xf numFmtId="0" fontId="0" fillId="0" borderId="0" xfId="0" applyBorder="1"/>
    <xf numFmtId="10" fontId="0" fillId="0" borderId="0" xfId="3" applyNumberFormat="1" applyFont="1" applyBorder="1" applyAlignment="1">
      <alignment horizontal="left"/>
    </xf>
    <xf numFmtId="167" fontId="0" fillId="0" borderId="0" xfId="4" applyNumberFormat="1" applyFont="1" applyBorder="1"/>
    <xf numFmtId="167" fontId="0" fillId="0" borderId="9" xfId="4" applyNumberFormat="1" applyFont="1" applyBorder="1"/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10" fontId="0" fillId="0" borderId="11" xfId="3" applyNumberFormat="1" applyFont="1" applyBorder="1" applyAlignment="1">
      <alignment horizontal="left"/>
    </xf>
    <xf numFmtId="167" fontId="0" fillId="0" borderId="11" xfId="4" applyNumberFormat="1" applyFont="1" applyBorder="1"/>
    <xf numFmtId="0" fontId="8" fillId="0" borderId="0" xfId="0" applyFont="1" applyBorder="1"/>
    <xf numFmtId="0" fontId="0" fillId="0" borderId="0" xfId="0" applyBorder="1" applyAlignment="1">
      <alignment horizontal="left"/>
    </xf>
    <xf numFmtId="10" fontId="0" fillId="0" borderId="0" xfId="0" applyNumberFormat="1" applyBorder="1" applyAlignment="1">
      <alignment horizontal="left"/>
    </xf>
    <xf numFmtId="10" fontId="0" fillId="0" borderId="11" xfId="0" applyNumberFormat="1" applyBorder="1" applyAlignment="1">
      <alignment horizontal="left"/>
    </xf>
    <xf numFmtId="167" fontId="0" fillId="0" borderId="12" xfId="4" applyNumberFormat="1" applyFont="1" applyBorder="1"/>
    <xf numFmtId="0" fontId="0" fillId="3" borderId="0" xfId="0" applyFill="1" applyAlignment="1">
      <alignment horizontal="left"/>
    </xf>
    <xf numFmtId="10" fontId="6" fillId="0" borderId="0" xfId="0" applyNumberFormat="1" applyFont="1" applyFill="1" applyAlignment="1">
      <alignment horizontal="center"/>
    </xf>
    <xf numFmtId="167" fontId="0" fillId="0" borderId="0" xfId="0" applyNumberFormat="1"/>
    <xf numFmtId="43" fontId="0" fillId="0" borderId="0" xfId="0" applyNumberFormat="1"/>
    <xf numFmtId="43" fontId="0" fillId="0" borderId="2" xfId="0" applyNumberFormat="1" applyBorder="1"/>
    <xf numFmtId="43" fontId="0" fillId="0" borderId="13" xfId="0" applyNumberFormat="1" applyBorder="1"/>
    <xf numFmtId="0" fontId="2" fillId="0" borderId="0" xfId="0" applyFont="1"/>
    <xf numFmtId="167" fontId="0" fillId="0" borderId="2" xfId="0" applyNumberFormat="1" applyBorder="1"/>
    <xf numFmtId="167" fontId="0" fillId="0" borderId="13" xfId="0" applyNumberFormat="1" applyBorder="1"/>
    <xf numFmtId="0" fontId="22" fillId="0" borderId="0" xfId="0" applyFont="1"/>
    <xf numFmtId="0" fontId="6" fillId="0" borderId="0" xfId="0" applyFont="1" applyFill="1" applyAlignment="1">
      <alignment horizontal="left"/>
    </xf>
    <xf numFmtId="16" fontId="21" fillId="0" borderId="0" xfId="0" applyNumberFormat="1" applyFont="1"/>
    <xf numFmtId="0" fontId="21" fillId="0" borderId="0" xfId="0" applyFont="1" applyAlignment="1">
      <alignment wrapText="1"/>
    </xf>
    <xf numFmtId="0" fontId="21" fillId="0" borderId="0" xfId="0" applyFont="1"/>
    <xf numFmtId="167" fontId="21" fillId="0" borderId="0" xfId="4" applyNumberFormat="1" applyFont="1"/>
    <xf numFmtId="43" fontId="0" fillId="0" borderId="0" xfId="4" applyFont="1"/>
    <xf numFmtId="0" fontId="21" fillId="0" borderId="0" xfId="0" applyFont="1" applyAlignment="1">
      <alignment horizontal="center"/>
    </xf>
    <xf numFmtId="43" fontId="23" fillId="0" borderId="14" xfId="4" applyFont="1" applyBorder="1"/>
    <xf numFmtId="43" fontId="21" fillId="0" borderId="0" xfId="4" applyFont="1"/>
    <xf numFmtId="167" fontId="25" fillId="0" borderId="3" xfId="1" applyNumberFormat="1" applyFont="1" applyFill="1" applyBorder="1" applyAlignment="1">
      <alignment horizontal="center"/>
    </xf>
    <xf numFmtId="167" fontId="6" fillId="0" borderId="0" xfId="1" applyNumberFormat="1" applyFont="1" applyFill="1" applyAlignment="1">
      <alignment horizontal="center"/>
    </xf>
    <xf numFmtId="167" fontId="9" fillId="0" borderId="0" xfId="1" applyNumberFormat="1" applyFont="1" applyFill="1" applyAlignment="1">
      <alignment horizontal="center"/>
    </xf>
    <xf numFmtId="167" fontId="0" fillId="0" borderId="0" xfId="1" applyNumberFormat="1" applyFont="1"/>
    <xf numFmtId="167" fontId="24" fillId="0" borderId="3" xfId="1" applyNumberFormat="1" applyFont="1" applyFill="1" applyBorder="1" applyAlignment="1">
      <alignment horizontal="center"/>
    </xf>
    <xf numFmtId="167" fontId="9" fillId="0" borderId="0" xfId="1" applyNumberFormat="1" applyFont="1" applyFill="1" applyBorder="1" applyAlignment="1">
      <alignment horizontal="center"/>
    </xf>
    <xf numFmtId="167" fontId="0" fillId="0" borderId="0" xfId="1" applyNumberFormat="1" applyFont="1" applyBorder="1"/>
    <xf numFmtId="167" fontId="9" fillId="0" borderId="13" xfId="1" applyNumberFormat="1" applyFont="1" applyFill="1" applyBorder="1" applyAlignment="1">
      <alignment horizontal="center"/>
    </xf>
    <xf numFmtId="167" fontId="9" fillId="0" borderId="0" xfId="1" applyNumberFormat="1" applyFont="1" applyFill="1" applyAlignment="1">
      <alignment horizontal="left"/>
    </xf>
    <xf numFmtId="1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10" fontId="0" fillId="0" borderId="0" xfId="3" applyNumberFormat="1" applyFont="1"/>
    <xf numFmtId="167" fontId="26" fillId="0" borderId="0" xfId="4" applyNumberFormat="1" applyFo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70" fontId="0" fillId="0" borderId="0" xfId="3" applyNumberFormat="1" applyFont="1"/>
    <xf numFmtId="0" fontId="0" fillId="0" borderId="0" xfId="0" applyFont="1"/>
    <xf numFmtId="171" fontId="0" fillId="0" borderId="0" xfId="3" applyNumberFormat="1" applyFont="1"/>
    <xf numFmtId="0" fontId="13" fillId="0" borderId="0" xfId="0" applyFont="1" applyFill="1" applyAlignment="1">
      <alignment horizontal="left"/>
    </xf>
    <xf numFmtId="174" fontId="21" fillId="0" borderId="0" xfId="0" applyNumberFormat="1" applyFont="1"/>
    <xf numFmtId="172" fontId="28" fillId="0" borderId="0" xfId="9" applyNumberFormat="1" applyFont="1" applyAlignment="1">
      <alignment horizontal="right"/>
    </xf>
    <xf numFmtId="173" fontId="28" fillId="0" borderId="0" xfId="9" applyNumberFormat="1" applyFont="1" applyAlignment="1">
      <alignment horizontal="right"/>
    </xf>
    <xf numFmtId="172" fontId="28" fillId="0" borderId="0" xfId="9" applyNumberFormat="1" applyFont="1" applyAlignment="1">
      <alignment horizontal="right"/>
    </xf>
    <xf numFmtId="172" fontId="28" fillId="0" borderId="0" xfId="9" applyNumberFormat="1" applyFont="1" applyAlignment="1">
      <alignment horizontal="right"/>
    </xf>
    <xf numFmtId="173" fontId="28" fillId="0" borderId="0" xfId="9" applyNumberFormat="1" applyFont="1" applyAlignment="1">
      <alignment horizontal="right"/>
    </xf>
    <xf numFmtId="173" fontId="28" fillId="0" borderId="0" xfId="9" applyNumberFormat="1" applyFont="1" applyAlignment="1">
      <alignment horizontal="right"/>
    </xf>
    <xf numFmtId="173" fontId="28" fillId="0" borderId="0" xfId="9" applyNumberFormat="1" applyFont="1" applyAlignment="1">
      <alignment horizontal="right"/>
    </xf>
    <xf numFmtId="173" fontId="28" fillId="0" borderId="0" xfId="9" applyNumberFormat="1" applyFont="1" applyAlignment="1">
      <alignment horizontal="right"/>
    </xf>
    <xf numFmtId="173" fontId="28" fillId="0" borderId="0" xfId="9" applyNumberFormat="1" applyFont="1" applyAlignment="1">
      <alignment horizontal="right"/>
    </xf>
    <xf numFmtId="172" fontId="28" fillId="0" borderId="0" xfId="9" applyNumberFormat="1" applyFont="1" applyAlignment="1">
      <alignment horizontal="right"/>
    </xf>
    <xf numFmtId="172" fontId="28" fillId="0" borderId="0" xfId="9" applyNumberFormat="1" applyFont="1" applyAlignment="1">
      <alignment horizontal="right"/>
    </xf>
    <xf numFmtId="173" fontId="28" fillId="0" borderId="0" xfId="9" applyNumberFormat="1" applyFont="1" applyAlignment="1">
      <alignment horizontal="right"/>
    </xf>
    <xf numFmtId="167" fontId="8" fillId="0" borderId="0" xfId="4" applyNumberFormat="1" applyFont="1"/>
    <xf numFmtId="167" fontId="21" fillId="0" borderId="0" xfId="1" applyNumberFormat="1" applyFont="1"/>
    <xf numFmtId="175" fontId="0" fillId="0" borderId="0" xfId="4" applyNumberFormat="1" applyFont="1"/>
    <xf numFmtId="172" fontId="28" fillId="0" borderId="0" xfId="0" applyNumberFormat="1" applyFont="1" applyAlignment="1">
      <alignment horizontal="right"/>
    </xf>
    <xf numFmtId="173" fontId="28" fillId="0" borderId="0" xfId="0" applyNumberFormat="1" applyFont="1" applyAlignment="1">
      <alignment horizontal="right"/>
    </xf>
    <xf numFmtId="167" fontId="29" fillId="5" borderId="0" xfId="10" applyNumberFormat="1" applyFont="1" applyFill="1" applyProtection="1"/>
    <xf numFmtId="164" fontId="11" fillId="5" borderId="0" xfId="2" applyFont="1" applyFill="1"/>
    <xf numFmtId="168" fontId="14" fillId="5" borderId="0" xfId="5" applyFont="1" applyFill="1"/>
    <xf numFmtId="0" fontId="32" fillId="0" borderId="0" xfId="0" applyFont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8" fillId="0" borderId="0" xfId="0" applyFont="1" applyAlignment="1">
      <alignment horizontal="center"/>
    </xf>
    <xf numFmtId="0" fontId="8" fillId="0" borderId="0" xfId="0" applyFont="1" applyAlignment="1"/>
  </cellXfs>
  <cellStyles count="11">
    <cellStyle name="Comma" xfId="1" builtinId="3"/>
    <cellStyle name="Comma 10" xfId="4"/>
    <cellStyle name="Currency" xfId="10" builtinId="4"/>
    <cellStyle name="FRxAmtStyle" xfId="2"/>
    <cellStyle name="FRxAmtStyle 10 2" xfId="5"/>
    <cellStyle name="FRxAmtStyle 10 2 2" xfId="7"/>
    <cellStyle name="Normal" xfId="0" builtinId="0"/>
    <cellStyle name="Normal 2" xfId="9"/>
    <cellStyle name="Normal 278" xfId="8"/>
    <cellStyle name="Normal 355 5" xfId="6"/>
    <cellStyle name="Percent 9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styles" Target="style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theme" Target="theme/theme1.xml" Id="rId17" /><Relationship Type="http://schemas.openxmlformats.org/officeDocument/2006/relationships/worksheet" Target="worksheets/sheet2.xml" Id="rId2" /><Relationship Type="http://schemas.openxmlformats.org/officeDocument/2006/relationships/externalLink" Target="externalLinks/externalLink1.xml" Id="rId16" /><Relationship Type="http://schemas.openxmlformats.org/officeDocument/2006/relationships/calcChain" Target="calcChain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10.xml" Id="rId10" /><Relationship Type="http://schemas.openxmlformats.org/officeDocument/2006/relationships/sharedStrings" Target="sharedStrings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OR%20Surveillance%20reports/2021/ROR's/4th%20Quarter/FN/FPUC%20GAS%20ROR%20December%2031,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preadsheet Change Management"/>
      <sheetName val="DATES"/>
      <sheetName val="CPK-ISEXT12"/>
      <sheetName val="COST OF SALES ISEXT-12 SEG 4"/>
      <sheetName val="REVENUE FROM ISEXT12 SEG 3"/>
      <sheetName val="FC Common Alloc Per ROR"/>
      <sheetName val="Common Plant Allocation Factors"/>
      <sheetName val="FC Depreciation Expense"/>
      <sheetName val="Corporate and Skipack Alloc"/>
      <sheetName val="Work_cap"/>
      <sheetName val="BS-13MO"/>
      <sheetName val="FC PP Plant and AD"/>
      <sheetName val="Income Statement"/>
      <sheetName val="Report Summary"/>
      <sheetName val="Avg ROR"/>
      <sheetName val="NOI SCH 2 P 2"/>
      <sheetName val="Year End ROR"/>
      <sheetName val="Work Cap-Avg"/>
      <sheetName val="Work Cap-Yr End"/>
      <sheetName val="NOI SCH 3 P 2"/>
      <sheetName val="Capital Structure"/>
      <sheetName val="Earned Ret on Equity"/>
      <sheetName val="Capital Structure ProForma"/>
      <sheetName val="Rate Base Calc"/>
      <sheetName val="Cap Struct Adj."/>
      <sheetName val="Sht Trm Int Rate"/>
      <sheetName val="PGA"/>
      <sheetName val="Conservation"/>
      <sheetName val="Flex Rates"/>
      <sheetName val="ACQ AMORT"/>
      <sheetName val="Economic Development"/>
      <sheetName val="Int Synch"/>
      <sheetName val="Out of Period"/>
      <sheetName val="AEP Adj"/>
      <sheetName val="Rate Refund"/>
      <sheetName val="Non Utility Plant Gas"/>
      <sheetName val="Comp Cost Rate of Debt"/>
      <sheetName val="Cust Dep Int"/>
      <sheetName val="FN with allocations"/>
      <sheetName val="Plant and Acc Dep bal PP"/>
      <sheetName val="FC with allocations"/>
      <sheetName val="LTD detail - CU Reg"/>
      <sheetName val="CU Consolidated Equity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B11">
            <v>0.17538138419273502</v>
          </cell>
          <cell r="C11">
            <v>0.19493367655493263</v>
          </cell>
          <cell r="D11">
            <v>-2.6963863219386323E-3</v>
          </cell>
          <cell r="E11">
            <v>0.40075371178398028</v>
          </cell>
          <cell r="F11">
            <v>2.4706719004354946E-3</v>
          </cell>
          <cell r="G11">
            <v>0.22915694188985516</v>
          </cell>
        </row>
        <row r="24">
          <cell r="B24">
            <v>7.9590522149324952E-2</v>
          </cell>
          <cell r="C24">
            <v>7.9662094019411156E-2</v>
          </cell>
          <cell r="D24">
            <v>1.0011386433877352E-3</v>
          </cell>
          <cell r="E24">
            <v>0.19003155668817437</v>
          </cell>
          <cell r="F24">
            <v>1.869544000433769E-4</v>
          </cell>
          <cell r="G24">
            <v>0.64952773409965836</v>
          </cell>
        </row>
      </sheetData>
      <sheetData sheetId="8">
        <row r="13">
          <cell r="N13">
            <v>576906.20768648759</v>
          </cell>
        </row>
      </sheetData>
      <sheetData sheetId="9"/>
      <sheetData sheetId="10"/>
      <sheetData sheetId="11"/>
      <sheetData sheetId="12">
        <row r="9">
          <cell r="C9">
            <v>596857.97</v>
          </cell>
          <cell r="D9">
            <v>596857.97</v>
          </cell>
          <cell r="E9">
            <v>596857.97</v>
          </cell>
          <cell r="F9">
            <v>596857.97</v>
          </cell>
          <cell r="G9">
            <v>596857.97</v>
          </cell>
          <cell r="H9">
            <v>596857.97</v>
          </cell>
          <cell r="I9">
            <v>596857.97</v>
          </cell>
          <cell r="J9">
            <v>596857.97</v>
          </cell>
          <cell r="K9">
            <v>596857.97</v>
          </cell>
          <cell r="L9">
            <v>596857.97</v>
          </cell>
          <cell r="M9">
            <v>596857.97</v>
          </cell>
          <cell r="N9">
            <v>596857.97</v>
          </cell>
          <cell r="O9">
            <v>596857.97</v>
          </cell>
        </row>
        <row r="10">
          <cell r="C10">
            <v>7749844.6500000004</v>
          </cell>
          <cell r="D10">
            <v>7751696.3800000008</v>
          </cell>
          <cell r="E10">
            <v>7759924.9100000001</v>
          </cell>
          <cell r="F10">
            <v>7765008.8700000001</v>
          </cell>
          <cell r="G10">
            <v>7766493.8000000007</v>
          </cell>
          <cell r="H10">
            <v>7768078.9600000009</v>
          </cell>
          <cell r="I10">
            <v>7746101.1600000001</v>
          </cell>
          <cell r="J10">
            <v>7746101.1600000001</v>
          </cell>
          <cell r="K10">
            <v>7746101.1600000001</v>
          </cell>
          <cell r="L10">
            <v>7746101.1600000001</v>
          </cell>
          <cell r="M10">
            <v>7746101.1600000001</v>
          </cell>
          <cell r="N10">
            <v>7746101.1600000001</v>
          </cell>
          <cell r="O10">
            <v>7746101.1600000001</v>
          </cell>
        </row>
        <row r="12">
          <cell r="C12">
            <v>738584.92</v>
          </cell>
          <cell r="D12">
            <v>738584.92</v>
          </cell>
          <cell r="E12">
            <v>738584.92</v>
          </cell>
          <cell r="F12">
            <v>738584.92</v>
          </cell>
          <cell r="G12">
            <v>738584.92</v>
          </cell>
          <cell r="H12">
            <v>738584.92</v>
          </cell>
          <cell r="I12">
            <v>742002.67</v>
          </cell>
          <cell r="J12">
            <v>742002.67</v>
          </cell>
          <cell r="K12">
            <v>742002.67</v>
          </cell>
          <cell r="L12">
            <v>742002.67</v>
          </cell>
          <cell r="M12">
            <v>742002.67</v>
          </cell>
          <cell r="N12">
            <v>742002.67</v>
          </cell>
          <cell r="O12">
            <v>742002.67</v>
          </cell>
        </row>
        <row r="13">
          <cell r="C13">
            <v>155846.9</v>
          </cell>
          <cell r="D13">
            <v>155846.9</v>
          </cell>
          <cell r="E13">
            <v>155846.9</v>
          </cell>
          <cell r="F13">
            <v>152164.67000000001</v>
          </cell>
          <cell r="G13">
            <v>96328.87</v>
          </cell>
          <cell r="H13">
            <v>96328.87</v>
          </cell>
          <cell r="I13">
            <v>96328.87</v>
          </cell>
          <cell r="J13">
            <v>96328.87</v>
          </cell>
          <cell r="K13">
            <v>96328.87</v>
          </cell>
          <cell r="L13">
            <v>64153.94</v>
          </cell>
          <cell r="M13">
            <v>64153.94</v>
          </cell>
          <cell r="N13">
            <v>64153.94</v>
          </cell>
          <cell r="O13">
            <v>41832.54</v>
          </cell>
        </row>
        <row r="14">
          <cell r="C14">
            <v>432439.96</v>
          </cell>
          <cell r="D14">
            <v>432439.96</v>
          </cell>
          <cell r="E14">
            <v>432439.96</v>
          </cell>
          <cell r="F14">
            <v>432439.96</v>
          </cell>
          <cell r="G14">
            <v>432439.96</v>
          </cell>
          <cell r="H14">
            <v>432439.96</v>
          </cell>
          <cell r="I14">
            <v>432439.96</v>
          </cell>
          <cell r="J14">
            <v>432439.96</v>
          </cell>
          <cell r="K14">
            <v>432439.96</v>
          </cell>
          <cell r="L14">
            <v>432439.96</v>
          </cell>
          <cell r="M14">
            <v>432439.96</v>
          </cell>
          <cell r="N14">
            <v>432439.96</v>
          </cell>
          <cell r="O14">
            <v>432439.96</v>
          </cell>
        </row>
        <row r="15">
          <cell r="C15">
            <v>856175.07000000007</v>
          </cell>
          <cell r="D15">
            <v>864260.97000000009</v>
          </cell>
          <cell r="E15">
            <v>864260.97000000009</v>
          </cell>
          <cell r="F15">
            <v>864260.97000000009</v>
          </cell>
          <cell r="G15">
            <v>864260.97000000009</v>
          </cell>
          <cell r="H15">
            <v>864260.97000000009</v>
          </cell>
          <cell r="I15">
            <v>892460.5</v>
          </cell>
          <cell r="J15">
            <v>908227.98</v>
          </cell>
          <cell r="K15">
            <v>917653.1</v>
          </cell>
          <cell r="L15">
            <v>917653.1</v>
          </cell>
          <cell r="M15">
            <v>927709.92</v>
          </cell>
          <cell r="N15">
            <v>932207.7</v>
          </cell>
          <cell r="O15">
            <v>936225.38</v>
          </cell>
        </row>
        <row r="16">
          <cell r="C16">
            <v>258116.52</v>
          </cell>
          <cell r="D16">
            <v>258116.52</v>
          </cell>
          <cell r="E16">
            <v>258116.52</v>
          </cell>
          <cell r="F16">
            <v>258116.52</v>
          </cell>
          <cell r="G16">
            <v>258116.52</v>
          </cell>
          <cell r="H16">
            <v>258116.52</v>
          </cell>
          <cell r="I16">
            <v>258116.52</v>
          </cell>
          <cell r="J16">
            <v>258116.52</v>
          </cell>
          <cell r="K16">
            <v>258116.52</v>
          </cell>
          <cell r="L16">
            <v>258116.52</v>
          </cell>
          <cell r="M16">
            <v>258116.52</v>
          </cell>
          <cell r="N16">
            <v>258116.52</v>
          </cell>
          <cell r="O16">
            <v>258116.52000000002</v>
          </cell>
        </row>
        <row r="17">
          <cell r="C17">
            <v>763765.58</v>
          </cell>
          <cell r="D17">
            <v>763765.58</v>
          </cell>
          <cell r="E17">
            <v>763765.58</v>
          </cell>
          <cell r="F17">
            <v>763765.58</v>
          </cell>
          <cell r="G17">
            <v>763765.58</v>
          </cell>
          <cell r="H17">
            <v>763765.58</v>
          </cell>
          <cell r="I17">
            <v>763765.58</v>
          </cell>
          <cell r="J17">
            <v>763765.58</v>
          </cell>
          <cell r="K17">
            <v>763765.58</v>
          </cell>
          <cell r="L17">
            <v>763765.58</v>
          </cell>
          <cell r="M17">
            <v>763765.58</v>
          </cell>
          <cell r="N17">
            <v>763765.58</v>
          </cell>
          <cell r="O17">
            <v>763765.58</v>
          </cell>
        </row>
        <row r="20">
          <cell r="C20">
            <v>640740.72</v>
          </cell>
          <cell r="D20">
            <v>640740.72</v>
          </cell>
          <cell r="E20">
            <v>640740.72</v>
          </cell>
          <cell r="F20">
            <v>640740.72</v>
          </cell>
          <cell r="G20">
            <v>640740.72</v>
          </cell>
          <cell r="H20">
            <v>640740.72</v>
          </cell>
          <cell r="I20">
            <v>640740.72</v>
          </cell>
          <cell r="J20">
            <v>640740.72</v>
          </cell>
          <cell r="K20">
            <v>640740.72</v>
          </cell>
          <cell r="L20">
            <v>640740.72</v>
          </cell>
          <cell r="M20">
            <v>640740.72</v>
          </cell>
          <cell r="N20">
            <v>640740.72</v>
          </cell>
          <cell r="O20">
            <v>640740.72</v>
          </cell>
        </row>
        <row r="21">
          <cell r="C21">
            <v>32922.449999999997</v>
          </cell>
          <cell r="D21">
            <v>32922.449999999997</v>
          </cell>
          <cell r="E21">
            <v>32922.449999999997</v>
          </cell>
          <cell r="F21">
            <v>32922.449999999997</v>
          </cell>
          <cell r="G21">
            <v>32922.449999999997</v>
          </cell>
          <cell r="H21">
            <v>32922.449999999997</v>
          </cell>
          <cell r="I21">
            <v>32922.449999999997</v>
          </cell>
          <cell r="J21">
            <v>32922.449999999997</v>
          </cell>
          <cell r="K21">
            <v>32922.449999999997</v>
          </cell>
          <cell r="L21">
            <v>32922.449999999997</v>
          </cell>
          <cell r="M21">
            <v>32922.449999999997</v>
          </cell>
          <cell r="N21">
            <v>32922.449999999997</v>
          </cell>
          <cell r="O21">
            <v>32922.449999999997</v>
          </cell>
        </row>
        <row r="31">
          <cell r="C31">
            <v>-240635.84000000003</v>
          </cell>
          <cell r="D31">
            <v>-255489.71000000002</v>
          </cell>
          <cell r="E31">
            <v>-270347.13</v>
          </cell>
          <cell r="F31">
            <v>-285220.32</v>
          </cell>
          <cell r="G31">
            <v>-300103.25</v>
          </cell>
          <cell r="H31">
            <v>-314989.03000000003</v>
          </cell>
          <cell r="I31">
            <v>-329877.85000000003</v>
          </cell>
          <cell r="J31">
            <v>-344724.54000000004</v>
          </cell>
          <cell r="K31">
            <v>-359571.23000000004</v>
          </cell>
          <cell r="L31">
            <v>-374417.91999999998</v>
          </cell>
          <cell r="M31">
            <v>-389264.61</v>
          </cell>
          <cell r="N31">
            <v>-404111.3</v>
          </cell>
          <cell r="O31">
            <v>-420142.72</v>
          </cell>
        </row>
        <row r="32">
          <cell r="C32">
            <v>-394865.56000000011</v>
          </cell>
          <cell r="D32">
            <v>-413890.32000000012</v>
          </cell>
          <cell r="E32">
            <v>-432915.08000000013</v>
          </cell>
          <cell r="F32">
            <v>-451939.84000000014</v>
          </cell>
          <cell r="G32">
            <v>-470964.60000000015</v>
          </cell>
          <cell r="H32">
            <v>-489989.36000000016</v>
          </cell>
          <cell r="I32">
            <v>-509014.12000000017</v>
          </cell>
          <cell r="J32">
            <v>-528059.2200000002</v>
          </cell>
          <cell r="K32">
            <v>-547104.32000000018</v>
          </cell>
          <cell r="L32">
            <v>-566149.42000000004</v>
          </cell>
          <cell r="M32">
            <v>-585194.52</v>
          </cell>
          <cell r="N32">
            <v>-604239.62</v>
          </cell>
          <cell r="O32">
            <v>-30015.37999999999</v>
          </cell>
        </row>
        <row r="33">
          <cell r="C33">
            <v>393600.4700000002</v>
          </cell>
          <cell r="D33">
            <v>394656.75000000023</v>
          </cell>
          <cell r="E33">
            <v>395713.03000000026</v>
          </cell>
          <cell r="F33">
            <v>400451.54000000027</v>
          </cell>
          <cell r="G33">
            <v>457374.30000000028</v>
          </cell>
          <cell r="H33">
            <v>458926.56000000029</v>
          </cell>
          <cell r="I33">
            <v>460478.8200000003</v>
          </cell>
          <cell r="J33">
            <v>462031.08000000031</v>
          </cell>
          <cell r="K33">
            <v>463583.34000000032</v>
          </cell>
          <cell r="L33">
            <v>497310.53</v>
          </cell>
          <cell r="M33">
            <v>499130.91</v>
          </cell>
          <cell r="N33">
            <v>500951.29</v>
          </cell>
          <cell r="O33">
            <v>-100219.34</v>
          </cell>
        </row>
        <row r="34">
          <cell r="C34">
            <v>153800.21000000005</v>
          </cell>
          <cell r="D34">
            <v>151484.80000000005</v>
          </cell>
          <cell r="E34">
            <v>149169.39000000004</v>
          </cell>
          <cell r="F34">
            <v>146853.98000000004</v>
          </cell>
          <cell r="G34">
            <v>144538.57000000004</v>
          </cell>
          <cell r="H34">
            <v>142223.16000000003</v>
          </cell>
          <cell r="I34">
            <v>139907.75000000003</v>
          </cell>
          <cell r="J34">
            <v>137592.34000000003</v>
          </cell>
          <cell r="K34">
            <v>135276.93000000002</v>
          </cell>
          <cell r="L34">
            <v>132961.51999999999</v>
          </cell>
          <cell r="M34">
            <v>130646.11</v>
          </cell>
          <cell r="N34">
            <v>128330.7</v>
          </cell>
          <cell r="O34">
            <v>240146.58000000002</v>
          </cell>
        </row>
        <row r="35">
          <cell r="C35">
            <v>-25434.540000000052</v>
          </cell>
          <cell r="D35">
            <v>-22596.080000000053</v>
          </cell>
          <cell r="E35">
            <v>-19825.000000000051</v>
          </cell>
          <cell r="F35">
            <v>-17053.920000000049</v>
          </cell>
          <cell r="G35">
            <v>-14282.840000000049</v>
          </cell>
          <cell r="H35">
            <v>-11511.760000000049</v>
          </cell>
          <cell r="I35">
            <v>-8740.6800000000494</v>
          </cell>
          <cell r="J35">
            <v>-6204.6000000000495</v>
          </cell>
          <cell r="K35">
            <v>-3799.9200000000492</v>
          </cell>
          <cell r="L35">
            <v>-1473.78</v>
          </cell>
          <cell r="M35">
            <v>852.36</v>
          </cell>
          <cell r="N35">
            <v>3094.69</v>
          </cell>
          <cell r="O35">
            <v>9031.5400000000009</v>
          </cell>
        </row>
        <row r="36">
          <cell r="C36">
            <v>-110913.55000000002</v>
          </cell>
          <cell r="D36">
            <v>-114656.24000000002</v>
          </cell>
          <cell r="E36">
            <v>-118398.93000000002</v>
          </cell>
          <cell r="F36">
            <v>-122141.62000000002</v>
          </cell>
          <cell r="G36">
            <v>-125884.31000000003</v>
          </cell>
          <cell r="H36">
            <v>-129627.00000000003</v>
          </cell>
          <cell r="I36">
            <v>-133369.69000000003</v>
          </cell>
          <cell r="J36">
            <v>-137112.38000000003</v>
          </cell>
          <cell r="K36">
            <v>-140855.07000000004</v>
          </cell>
          <cell r="L36">
            <v>-144597.76000000001</v>
          </cell>
          <cell r="M36">
            <v>-148340.45000000001</v>
          </cell>
          <cell r="N36">
            <v>-152083.14000000001</v>
          </cell>
          <cell r="O36">
            <v>-155825.82999999999</v>
          </cell>
        </row>
        <row r="37">
          <cell r="C37">
            <v>-263873.36999999988</v>
          </cell>
          <cell r="D37">
            <v>-269219.72999999986</v>
          </cell>
          <cell r="E37">
            <v>-274566.08999999985</v>
          </cell>
          <cell r="F37">
            <v>-279912.44999999984</v>
          </cell>
          <cell r="G37">
            <v>-285258.80999999982</v>
          </cell>
          <cell r="H37">
            <v>-290605.16999999981</v>
          </cell>
          <cell r="I37">
            <v>-295951.5299999998</v>
          </cell>
          <cell r="J37">
            <v>-301297.88999999978</v>
          </cell>
          <cell r="K37">
            <v>-306644.24999999977</v>
          </cell>
          <cell r="L37">
            <v>-311990.61</v>
          </cell>
          <cell r="M37">
            <v>-317336.96999999997</v>
          </cell>
          <cell r="N37">
            <v>-322683.33</v>
          </cell>
          <cell r="O37">
            <v>-254232.94</v>
          </cell>
        </row>
        <row r="40">
          <cell r="C40">
            <v>-115532.95000000001</v>
          </cell>
          <cell r="D40">
            <v>-121640.93000000001</v>
          </cell>
          <cell r="E40">
            <v>-127748.91</v>
          </cell>
          <cell r="F40">
            <v>-133856.89000000001</v>
          </cell>
          <cell r="G40">
            <v>-139964.87000000002</v>
          </cell>
          <cell r="H40">
            <v>-146072.85000000003</v>
          </cell>
          <cell r="I40">
            <v>-152180.83000000005</v>
          </cell>
          <cell r="J40">
            <v>-158288.81000000006</v>
          </cell>
          <cell r="K40">
            <v>-164396.79000000007</v>
          </cell>
          <cell r="L40">
            <v>-170504.77</v>
          </cell>
          <cell r="M40">
            <v>-176612.75</v>
          </cell>
          <cell r="N40">
            <v>-182720.73</v>
          </cell>
          <cell r="O40">
            <v>-192055.3</v>
          </cell>
        </row>
        <row r="41">
          <cell r="C41">
            <v>-81.5900000000006</v>
          </cell>
          <cell r="D41">
            <v>-811.80000000000064</v>
          </cell>
          <cell r="E41">
            <v>-1542.0100000000007</v>
          </cell>
          <cell r="F41">
            <v>-2272.2200000000007</v>
          </cell>
          <cell r="G41">
            <v>-3002.4300000000007</v>
          </cell>
          <cell r="H41">
            <v>-3732.6400000000008</v>
          </cell>
          <cell r="I41">
            <v>-4462.8500000000004</v>
          </cell>
          <cell r="J41">
            <v>-5193.0600000000004</v>
          </cell>
          <cell r="K41">
            <v>-5923.27</v>
          </cell>
          <cell r="L41">
            <v>-6653.48</v>
          </cell>
          <cell r="M41">
            <v>-7383.69</v>
          </cell>
          <cell r="N41">
            <v>-8113.9</v>
          </cell>
          <cell r="O41">
            <v>-9977.82</v>
          </cell>
        </row>
      </sheetData>
      <sheetData sheetId="13"/>
      <sheetData sheetId="14"/>
      <sheetData sheetId="15"/>
      <sheetData sheetId="16">
        <row r="13">
          <cell r="B13">
            <v>104209972</v>
          </cell>
        </row>
      </sheetData>
      <sheetData sheetId="17"/>
      <sheetData sheetId="18"/>
      <sheetData sheetId="19"/>
      <sheetData sheetId="20">
        <row r="17">
          <cell r="D17">
            <v>-36044900</v>
          </cell>
        </row>
      </sheetData>
      <sheetData sheetId="21"/>
      <sheetData sheetId="22"/>
      <sheetData sheetId="23"/>
      <sheetData sheetId="24"/>
      <sheetData sheetId="25"/>
      <sheetData sheetId="26"/>
      <sheetData sheetId="27">
        <row r="13">
          <cell r="P13">
            <v>36044904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30">
          <cell r="C30">
            <v>12225295</v>
          </cell>
          <cell r="D30">
            <v>12235232</v>
          </cell>
          <cell r="E30">
            <v>12243461</v>
          </cell>
          <cell r="F30">
            <v>12244863</v>
          </cell>
          <cell r="G30">
            <v>12190512</v>
          </cell>
          <cell r="H30">
            <v>12192097</v>
          </cell>
          <cell r="I30">
            <v>12201736</v>
          </cell>
          <cell r="J30">
            <v>12217504</v>
          </cell>
          <cell r="K30">
            <v>12226929</v>
          </cell>
          <cell r="L30">
            <v>12194754</v>
          </cell>
          <cell r="M30">
            <v>12204811</v>
          </cell>
          <cell r="N30">
            <v>12209309</v>
          </cell>
          <cell r="O30">
            <v>12191005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3418</v>
          </cell>
          <cell r="H35">
            <v>3418</v>
          </cell>
          <cell r="I35">
            <v>0</v>
          </cell>
          <cell r="J35">
            <v>0</v>
          </cell>
          <cell r="K35">
            <v>0</v>
          </cell>
          <cell r="L35">
            <v>1364</v>
          </cell>
          <cell r="M35">
            <v>0</v>
          </cell>
          <cell r="N35">
            <v>0</v>
          </cell>
          <cell r="O35">
            <v>0</v>
          </cell>
        </row>
        <row r="49">
          <cell r="C49">
            <v>30205</v>
          </cell>
          <cell r="D49">
            <v>32003</v>
          </cell>
          <cell r="E49">
            <v>32006</v>
          </cell>
          <cell r="F49">
            <v>32022</v>
          </cell>
          <cell r="G49">
            <v>32001</v>
          </cell>
          <cell r="H49">
            <v>31539</v>
          </cell>
          <cell r="I49">
            <v>31497</v>
          </cell>
          <cell r="J49">
            <v>31475</v>
          </cell>
          <cell r="K49">
            <v>31520</v>
          </cell>
          <cell r="L49">
            <v>31520</v>
          </cell>
          <cell r="M49">
            <v>31252</v>
          </cell>
          <cell r="N49">
            <v>31252</v>
          </cell>
          <cell r="O49">
            <v>25334</v>
          </cell>
        </row>
        <row r="50">
          <cell r="C50">
            <v>18026</v>
          </cell>
          <cell r="D50">
            <v>16224</v>
          </cell>
          <cell r="E50">
            <v>16291</v>
          </cell>
          <cell r="F50">
            <v>16291</v>
          </cell>
          <cell r="G50">
            <v>16291</v>
          </cell>
          <cell r="H50">
            <v>16291</v>
          </cell>
          <cell r="I50">
            <v>16291</v>
          </cell>
          <cell r="J50">
            <v>16526</v>
          </cell>
          <cell r="K50">
            <v>16658</v>
          </cell>
          <cell r="L50">
            <v>16736</v>
          </cell>
          <cell r="M50">
            <v>16736</v>
          </cell>
          <cell r="N50">
            <v>16820</v>
          </cell>
          <cell r="O50">
            <v>22241</v>
          </cell>
        </row>
        <row r="51">
          <cell r="C51">
            <v>-45669</v>
          </cell>
          <cell r="D51">
            <v>-45669</v>
          </cell>
          <cell r="E51">
            <v>-45669</v>
          </cell>
          <cell r="F51">
            <v>-45669</v>
          </cell>
          <cell r="G51">
            <v>-45669</v>
          </cell>
          <cell r="H51">
            <v>-45669</v>
          </cell>
          <cell r="I51">
            <v>-45669</v>
          </cell>
          <cell r="J51">
            <v>-45669</v>
          </cell>
          <cell r="K51">
            <v>-45669</v>
          </cell>
          <cell r="L51">
            <v>-45669</v>
          </cell>
          <cell r="M51">
            <v>-45669</v>
          </cell>
          <cell r="N51">
            <v>-45669</v>
          </cell>
          <cell r="O51">
            <v>-45669</v>
          </cell>
        </row>
        <row r="53">
          <cell r="C53">
            <v>-601375</v>
          </cell>
          <cell r="D53">
            <v>-649606</v>
          </cell>
          <cell r="E53">
            <v>-697833</v>
          </cell>
          <cell r="F53">
            <v>-742448</v>
          </cell>
          <cell r="G53">
            <v>-734925</v>
          </cell>
          <cell r="H53">
            <v>-783218</v>
          </cell>
          <cell r="I53">
            <v>-831093</v>
          </cell>
          <cell r="J53">
            <v>-878925</v>
          </cell>
          <cell r="K53">
            <v>-926927</v>
          </cell>
          <cell r="L53">
            <v>-942929</v>
          </cell>
          <cell r="M53">
            <v>-991185</v>
          </cell>
          <cell r="N53">
            <v>-1039173</v>
          </cell>
          <cell r="O53">
            <v>-911386</v>
          </cell>
          <cell r="P53">
            <v>-10731023</v>
          </cell>
        </row>
      </sheetData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10"/>
  <sheetViews>
    <sheetView topLeftCell="A4" workbookViewId="0">
      <pane xSplit="2" ySplit="5" topLeftCell="Q57" activePane="bottomRight" state="frozen"/>
      <selection activeCell="A4" sqref="A4"/>
      <selection pane="topRight" activeCell="C4" sqref="C4"/>
      <selection pane="bottomLeft" activeCell="A9" sqref="A9"/>
      <selection pane="bottomRight" activeCell="C9" sqref="C9"/>
    </sheetView>
  </sheetViews>
  <sheetFormatPr defaultRowHeight="15" x14ac:dyDescent="0.25"/>
  <cols>
    <col min="1" max="1" width="59.28515625" customWidth="1"/>
    <col min="2" max="2" width="10" bestFit="1" customWidth="1"/>
    <col min="3" max="15" width="15.42578125" bestFit="1" customWidth="1"/>
    <col min="16" max="16" width="17" bestFit="1" customWidth="1"/>
    <col min="17" max="17" width="15.42578125" bestFit="1" customWidth="1"/>
    <col min="18" max="18" width="7.42578125" bestFit="1" customWidth="1"/>
    <col min="19" max="19" width="15.140625" bestFit="1" customWidth="1"/>
    <col min="20" max="20" width="13.140625" bestFit="1" customWidth="1"/>
    <col min="22" max="22" width="7.85546875" bestFit="1" customWidth="1"/>
    <col min="23" max="23" width="6.140625" bestFit="1" customWidth="1"/>
    <col min="24" max="24" width="8" bestFit="1" customWidth="1"/>
    <col min="27" max="27" width="8.42578125" bestFit="1" customWidth="1"/>
    <col min="28" max="29" width="8.7109375" bestFit="1" customWidth="1"/>
    <col min="30" max="30" width="7.85546875" bestFit="1" customWidth="1"/>
    <col min="31" max="31" width="6.140625" bestFit="1" customWidth="1"/>
    <col min="32" max="32" width="8" bestFit="1" customWidth="1"/>
    <col min="33" max="33" width="8.7109375" bestFit="1" customWidth="1"/>
    <col min="34" max="34" width="7.42578125" bestFit="1" customWidth="1"/>
  </cols>
  <sheetData>
    <row r="1" spans="1:34" ht="22.5" x14ac:dyDescent="0.45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 t="s">
        <v>1</v>
      </c>
      <c r="T1" s="4" t="s">
        <v>2</v>
      </c>
      <c r="U1" s="4"/>
      <c r="V1" s="4"/>
      <c r="W1" s="4"/>
      <c r="X1" s="4"/>
      <c r="Y1" s="4"/>
      <c r="Z1" s="4"/>
      <c r="AA1" s="4" t="s">
        <v>1</v>
      </c>
      <c r="AB1" s="4" t="s">
        <v>3</v>
      </c>
      <c r="AC1" s="4"/>
      <c r="AD1" s="4"/>
      <c r="AE1" s="4"/>
      <c r="AF1" s="4"/>
      <c r="AG1" s="4"/>
      <c r="AH1" s="3"/>
    </row>
    <row r="2" spans="1:34" ht="19.5" x14ac:dyDescent="0.4">
      <c r="A2" s="5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4" t="s">
        <v>5</v>
      </c>
      <c r="T2" s="4" t="s">
        <v>6</v>
      </c>
      <c r="U2" s="4" t="s">
        <v>7</v>
      </c>
      <c r="V2" s="4" t="s">
        <v>8</v>
      </c>
      <c r="W2" s="4" t="s">
        <v>9</v>
      </c>
      <c r="X2" s="4" t="s">
        <v>10</v>
      </c>
      <c r="Y2" s="4" t="s">
        <v>11</v>
      </c>
      <c r="Z2" s="4"/>
      <c r="AA2" s="4" t="s">
        <v>5</v>
      </c>
      <c r="AB2" s="4" t="s">
        <v>6</v>
      </c>
      <c r="AC2" s="4" t="s">
        <v>7</v>
      </c>
      <c r="AD2" s="4" t="s">
        <v>8</v>
      </c>
      <c r="AE2" s="4" t="s">
        <v>9</v>
      </c>
      <c r="AF2" s="4" t="s">
        <v>10</v>
      </c>
      <c r="AG2" s="4" t="s">
        <v>11</v>
      </c>
      <c r="AH2" s="3"/>
    </row>
    <row r="3" spans="1:34" ht="19.5" x14ac:dyDescent="0.4">
      <c r="A3" s="5" t="s">
        <v>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4" t="s">
        <v>13</v>
      </c>
      <c r="T3" s="6">
        <v>0.16214999999999999</v>
      </c>
      <c r="U3" s="6">
        <v>0.39171</v>
      </c>
      <c r="V3" s="6">
        <v>0.18387999999999999</v>
      </c>
      <c r="W3" s="6">
        <v>3.5500000000000002E-3</v>
      </c>
      <c r="X3" s="6">
        <v>1.1100000000000001E-3</v>
      </c>
      <c r="Y3" s="6">
        <v>0.25762000000000002</v>
      </c>
      <c r="Z3" s="4"/>
      <c r="AA3" s="4" t="s">
        <v>13</v>
      </c>
      <c r="AB3" s="6">
        <v>0.16214999999999999</v>
      </c>
      <c r="AC3" s="6">
        <v>0.39171</v>
      </c>
      <c r="AD3" s="6">
        <v>0.18387999999999999</v>
      </c>
      <c r="AE3" s="6">
        <v>3.5500000000000002E-3</v>
      </c>
      <c r="AF3" s="6">
        <v>1.1100000000000001E-3</v>
      </c>
      <c r="AG3" s="6">
        <v>0.25762000000000002</v>
      </c>
      <c r="AH3" s="7"/>
    </row>
    <row r="4" spans="1:34" ht="19.5" x14ac:dyDescent="0.4">
      <c r="A4" s="5" t="s">
        <v>14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4" t="s">
        <v>15</v>
      </c>
      <c r="T4" s="8">
        <v>0.2928</v>
      </c>
      <c r="U4" s="8">
        <v>0.70720000000000005</v>
      </c>
      <c r="V4" s="8"/>
      <c r="W4" s="8"/>
      <c r="X4" s="8"/>
      <c r="Y4" s="9"/>
      <c r="Z4" s="4"/>
      <c r="AA4" s="4" t="s">
        <v>15</v>
      </c>
      <c r="AB4" s="8">
        <v>0.2928</v>
      </c>
      <c r="AC4" s="8">
        <v>0.70720000000000005</v>
      </c>
      <c r="AD4" s="8"/>
      <c r="AE4" s="8"/>
      <c r="AF4" s="8"/>
      <c r="AG4" s="9"/>
      <c r="AH4" s="7"/>
    </row>
    <row r="5" spans="1:34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4" t="s">
        <v>16</v>
      </c>
      <c r="T5" s="8">
        <v>0.21299999999999999</v>
      </c>
      <c r="U5" s="8">
        <v>0.34799999999999998</v>
      </c>
      <c r="V5" s="8">
        <v>0.14399999999999999</v>
      </c>
      <c r="W5" s="8">
        <v>1E-3</v>
      </c>
      <c r="X5" s="8">
        <v>1E-3</v>
      </c>
      <c r="Y5" s="8">
        <v>0.29299999999999998</v>
      </c>
      <c r="Z5" s="4"/>
      <c r="AA5" s="4" t="s">
        <v>16</v>
      </c>
      <c r="AB5" s="8">
        <v>0.21299999999999999</v>
      </c>
      <c r="AC5" s="8">
        <v>0.34799999999999998</v>
      </c>
      <c r="AD5" s="8">
        <v>0.14399999999999999</v>
      </c>
      <c r="AE5" s="8">
        <v>1E-3</v>
      </c>
      <c r="AF5" s="8">
        <v>1E-3</v>
      </c>
      <c r="AG5" s="8">
        <v>0.29299999999999998</v>
      </c>
      <c r="AH5" s="7"/>
    </row>
    <row r="6" spans="1:34" x14ac:dyDescent="0.25">
      <c r="C6" s="10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0" t="s">
        <v>22</v>
      </c>
      <c r="I6" s="10" t="s">
        <v>23</v>
      </c>
      <c r="J6" s="10" t="s">
        <v>24</v>
      </c>
      <c r="K6" s="10" t="s">
        <v>25</v>
      </c>
      <c r="L6" s="10" t="s">
        <v>26</v>
      </c>
      <c r="M6" s="10" t="s">
        <v>27</v>
      </c>
      <c r="N6" s="10" t="s">
        <v>28</v>
      </c>
      <c r="O6" s="10" t="s">
        <v>17</v>
      </c>
      <c r="P6" s="2"/>
      <c r="Q6" s="2"/>
      <c r="R6" s="3"/>
      <c r="S6" s="4" t="s">
        <v>29</v>
      </c>
      <c r="T6" s="8">
        <v>0.252</v>
      </c>
      <c r="U6" s="8">
        <v>0.52</v>
      </c>
      <c r="V6" s="8"/>
      <c r="W6" s="8"/>
      <c r="X6" s="8"/>
      <c r="Y6" s="8">
        <v>0.22800000000000001</v>
      </c>
      <c r="Z6" s="4"/>
      <c r="AA6" s="4" t="s">
        <v>29</v>
      </c>
      <c r="AB6" s="8">
        <v>0.252</v>
      </c>
      <c r="AC6" s="8">
        <v>0.52</v>
      </c>
      <c r="AD6" s="8"/>
      <c r="AE6" s="8"/>
      <c r="AF6" s="8"/>
      <c r="AG6" s="8">
        <v>0.22800000000000001</v>
      </c>
      <c r="AH6" s="7"/>
    </row>
    <row r="7" spans="1:34" x14ac:dyDescent="0.25">
      <c r="C7" s="11" t="s">
        <v>30</v>
      </c>
      <c r="D7" s="11" t="s">
        <v>31</v>
      </c>
      <c r="E7" s="11" t="s">
        <v>31</v>
      </c>
      <c r="F7" s="11" t="s">
        <v>31</v>
      </c>
      <c r="G7" s="11" t="s">
        <v>31</v>
      </c>
      <c r="H7" s="11" t="s">
        <v>31</v>
      </c>
      <c r="I7" s="11" t="s">
        <v>31</v>
      </c>
      <c r="J7" s="11" t="s">
        <v>31</v>
      </c>
      <c r="K7" s="11" t="s">
        <v>31</v>
      </c>
      <c r="L7" s="11" t="s">
        <v>31</v>
      </c>
      <c r="M7" s="11" t="s">
        <v>31</v>
      </c>
      <c r="N7" s="11" t="s">
        <v>31</v>
      </c>
      <c r="O7" s="11" t="s">
        <v>31</v>
      </c>
      <c r="P7" s="12" t="s">
        <v>32</v>
      </c>
      <c r="Q7" s="12" t="s">
        <v>33</v>
      </c>
      <c r="R7" s="3"/>
      <c r="S7" s="4" t="s">
        <v>34</v>
      </c>
      <c r="T7" s="8">
        <v>0.192</v>
      </c>
      <c r="U7" s="8">
        <v>0.39610000000000001</v>
      </c>
      <c r="V7" s="8">
        <v>0.13700000000000001</v>
      </c>
      <c r="W7" s="8">
        <v>3.2000000000000002E-3</v>
      </c>
      <c r="X7" s="8">
        <v>2.2000000000000001E-3</v>
      </c>
      <c r="Y7" s="8">
        <v>0.26950000000000002</v>
      </c>
      <c r="Z7" s="4"/>
      <c r="AA7" s="4" t="s">
        <v>34</v>
      </c>
      <c r="AB7" s="8">
        <v>0.192</v>
      </c>
      <c r="AC7" s="8">
        <v>0.39610000000000001</v>
      </c>
      <c r="AD7" s="8">
        <v>0.13700000000000001</v>
      </c>
      <c r="AE7" s="8">
        <v>3.2000000000000002E-3</v>
      </c>
      <c r="AF7" s="8">
        <v>2.2000000000000001E-3</v>
      </c>
      <c r="AG7" s="8">
        <v>0.26950000000000002</v>
      </c>
      <c r="AH7" s="7"/>
    </row>
    <row r="8" spans="1:34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3"/>
    </row>
    <row r="9" spans="1:34" x14ac:dyDescent="0.25">
      <c r="A9" s="13" t="s">
        <v>35</v>
      </c>
      <c r="B9" s="13" t="s">
        <v>36</v>
      </c>
      <c r="C9" s="14">
        <v>-53473801</v>
      </c>
      <c r="D9" s="14">
        <v>-52927683</v>
      </c>
      <c r="E9" s="14">
        <v>-50782991</v>
      </c>
      <c r="F9" s="14">
        <v>-53728742</v>
      </c>
      <c r="G9" s="14">
        <v>-52528295</v>
      </c>
      <c r="H9" s="14">
        <v>-54546955</v>
      </c>
      <c r="I9" s="14">
        <v>-53198317</v>
      </c>
      <c r="J9" s="14">
        <v>-56088549</v>
      </c>
      <c r="K9" s="14">
        <v>-57339401</v>
      </c>
      <c r="L9" s="14">
        <v>-53454763</v>
      </c>
      <c r="M9" s="14">
        <v>-55104746</v>
      </c>
      <c r="N9" s="14">
        <v>-47993900</v>
      </c>
      <c r="O9" s="14">
        <v>-62628904</v>
      </c>
      <c r="P9" s="14">
        <v>-703797045</v>
      </c>
      <c r="Q9" s="14">
        <v>-54138234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3"/>
    </row>
    <row r="10" spans="1:34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3"/>
    </row>
    <row r="11" spans="1:34" ht="19.5" x14ac:dyDescent="0.4">
      <c r="A11" s="5" t="s">
        <v>37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3"/>
    </row>
    <row r="12" spans="1:34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3"/>
    </row>
    <row r="13" spans="1:34" ht="15.75" x14ac:dyDescent="0.3">
      <c r="A13" s="18" t="s">
        <v>38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3"/>
    </row>
    <row r="14" spans="1:34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3"/>
    </row>
    <row r="15" spans="1:34" x14ac:dyDescent="0.25">
      <c r="A15" s="21" t="s">
        <v>39</v>
      </c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3"/>
    </row>
    <row r="16" spans="1:34" x14ac:dyDescent="0.25">
      <c r="A16" s="13" t="s">
        <v>40</v>
      </c>
      <c r="B16" s="13" t="s">
        <v>41</v>
      </c>
      <c r="C16" s="2">
        <v>-1473236</v>
      </c>
      <c r="D16" s="2">
        <v>-1473236</v>
      </c>
      <c r="E16" s="2">
        <v>-1473236</v>
      </c>
      <c r="F16" s="2">
        <v>-1476918</v>
      </c>
      <c r="G16" s="2">
        <v>11909467</v>
      </c>
      <c r="H16" s="2">
        <v>11909467</v>
      </c>
      <c r="I16" s="2">
        <v>11909467</v>
      </c>
      <c r="J16" s="2">
        <v>11909467</v>
      </c>
      <c r="K16" s="2">
        <v>12018628</v>
      </c>
      <c r="L16" s="2">
        <v>11986453</v>
      </c>
      <c r="M16" s="2">
        <v>12004504</v>
      </c>
      <c r="N16" s="2">
        <v>12009002</v>
      </c>
      <c r="O16" s="2">
        <v>11990698</v>
      </c>
      <c r="P16" s="2">
        <v>101750529</v>
      </c>
      <c r="Q16" s="2">
        <v>7826964</v>
      </c>
      <c r="R16" s="24"/>
      <c r="S16" s="25" t="s">
        <v>42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3"/>
    </row>
    <row r="17" spans="1:34" x14ac:dyDescent="0.25">
      <c r="A17" s="13" t="s">
        <v>43</v>
      </c>
      <c r="B17" s="13" t="s">
        <v>44</v>
      </c>
      <c r="C17" s="2">
        <v>594214</v>
      </c>
      <c r="D17" s="2">
        <v>594214</v>
      </c>
      <c r="E17" s="2">
        <v>594214</v>
      </c>
      <c r="F17" s="2">
        <v>594214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2376857</v>
      </c>
      <c r="Q17" s="2">
        <v>182835</v>
      </c>
      <c r="R17" s="1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3"/>
    </row>
    <row r="18" spans="1:34" x14ac:dyDescent="0.25">
      <c r="A18" s="13" t="s">
        <v>45</v>
      </c>
      <c r="B18" s="13" t="s">
        <v>46</v>
      </c>
      <c r="C18" s="2">
        <v>7633251</v>
      </c>
      <c r="D18" s="2">
        <v>7633251</v>
      </c>
      <c r="E18" s="2">
        <v>7633251</v>
      </c>
      <c r="F18" s="2">
        <v>7633251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30533004</v>
      </c>
      <c r="Q18" s="2">
        <v>2348693</v>
      </c>
      <c r="R18" s="1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3"/>
    </row>
    <row r="19" spans="1:34" x14ac:dyDescent="0.25">
      <c r="A19" s="13" t="s">
        <v>47</v>
      </c>
      <c r="B19" s="13" t="s">
        <v>48</v>
      </c>
      <c r="C19" s="2">
        <v>734008</v>
      </c>
      <c r="D19" s="2">
        <v>734008</v>
      </c>
      <c r="E19" s="2">
        <v>734008</v>
      </c>
      <c r="F19" s="2">
        <v>734008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2936031</v>
      </c>
      <c r="Q19" s="2">
        <v>225849</v>
      </c>
      <c r="R19" s="1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3"/>
    </row>
    <row r="20" spans="1:34" x14ac:dyDescent="0.25">
      <c r="A20" s="13" t="s">
        <v>49</v>
      </c>
      <c r="B20" s="13" t="s">
        <v>50</v>
      </c>
      <c r="C20" s="2">
        <v>207153</v>
      </c>
      <c r="D20" s="2">
        <v>207153</v>
      </c>
      <c r="E20" s="2">
        <v>207153</v>
      </c>
      <c r="F20" s="2">
        <v>207153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828610</v>
      </c>
      <c r="Q20" s="2">
        <v>63739</v>
      </c>
      <c r="R20" s="1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3"/>
    </row>
    <row r="21" spans="1:34" x14ac:dyDescent="0.25">
      <c r="A21" s="13" t="s">
        <v>51</v>
      </c>
      <c r="B21" s="13" t="s">
        <v>52</v>
      </c>
      <c r="C21" s="2">
        <v>347686</v>
      </c>
      <c r="D21" s="2">
        <v>347686</v>
      </c>
      <c r="E21" s="2">
        <v>347686</v>
      </c>
      <c r="F21" s="2">
        <v>347686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1390745</v>
      </c>
      <c r="Q21" s="2">
        <v>106980</v>
      </c>
      <c r="R21" s="1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3"/>
    </row>
    <row r="22" spans="1:34" x14ac:dyDescent="0.25">
      <c r="A22" s="13" t="s">
        <v>53</v>
      </c>
      <c r="B22" s="13" t="s">
        <v>54</v>
      </c>
      <c r="C22" s="2">
        <v>2202042</v>
      </c>
      <c r="D22" s="2">
        <v>2202042</v>
      </c>
      <c r="E22" s="2">
        <v>2202042</v>
      </c>
      <c r="F22" s="2">
        <v>2202042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8808168</v>
      </c>
      <c r="Q22" s="2">
        <v>677551</v>
      </c>
      <c r="R22" s="1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3"/>
    </row>
    <row r="23" spans="1:34" x14ac:dyDescent="0.25">
      <c r="A23" s="13" t="s">
        <v>55</v>
      </c>
      <c r="B23" s="13" t="s">
        <v>56</v>
      </c>
      <c r="C23" s="2">
        <v>258117</v>
      </c>
      <c r="D23" s="2">
        <v>258117</v>
      </c>
      <c r="E23" s="2">
        <v>258117</v>
      </c>
      <c r="F23" s="2">
        <v>258117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1032466</v>
      </c>
      <c r="Q23" s="2">
        <v>79420</v>
      </c>
      <c r="R23" s="1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3"/>
    </row>
    <row r="24" spans="1:34" x14ac:dyDescent="0.25">
      <c r="A24" s="13" t="s">
        <v>57</v>
      </c>
      <c r="B24" s="13" t="s">
        <v>58</v>
      </c>
      <c r="C24" s="2">
        <v>763766</v>
      </c>
      <c r="D24" s="2">
        <v>763766</v>
      </c>
      <c r="E24" s="2">
        <v>763766</v>
      </c>
      <c r="F24" s="2">
        <v>763766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3055062</v>
      </c>
      <c r="Q24" s="2">
        <v>235005</v>
      </c>
      <c r="R24" s="1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3"/>
    </row>
    <row r="25" spans="1:34" x14ac:dyDescent="0.25">
      <c r="A25" s="13" t="s">
        <v>59</v>
      </c>
      <c r="B25" s="13" t="s">
        <v>60</v>
      </c>
      <c r="C25" s="2">
        <v>640682</v>
      </c>
      <c r="D25" s="2">
        <v>640682</v>
      </c>
      <c r="E25" s="2">
        <v>640682</v>
      </c>
      <c r="F25" s="2">
        <v>640682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2562728</v>
      </c>
      <c r="Q25" s="2">
        <v>197133</v>
      </c>
      <c r="R25" s="1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3"/>
    </row>
    <row r="26" spans="1:34" x14ac:dyDescent="0.25">
      <c r="A26" s="13" t="s">
        <v>61</v>
      </c>
      <c r="B26" s="13" t="s">
        <v>62</v>
      </c>
      <c r="C26" s="2">
        <v>36332</v>
      </c>
      <c r="D26" s="2">
        <v>36332</v>
      </c>
      <c r="E26" s="2">
        <v>36332</v>
      </c>
      <c r="F26" s="2">
        <v>36332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145330</v>
      </c>
      <c r="Q26" s="2">
        <v>11179</v>
      </c>
      <c r="R26" s="1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3"/>
    </row>
    <row r="27" spans="1:34" x14ac:dyDescent="0.25">
      <c r="A27" s="13" t="s">
        <v>63</v>
      </c>
      <c r="B27" s="13" t="s">
        <v>64</v>
      </c>
      <c r="C27" s="2">
        <v>24970</v>
      </c>
      <c r="D27" s="2">
        <v>24970</v>
      </c>
      <c r="E27" s="2">
        <v>24970</v>
      </c>
      <c r="F27" s="2">
        <v>24970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99881</v>
      </c>
      <c r="Q27" s="2">
        <v>7683</v>
      </c>
      <c r="R27" s="1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3"/>
    </row>
    <row r="28" spans="1:34" x14ac:dyDescent="0.25">
      <c r="A28" s="13" t="s">
        <v>65</v>
      </c>
      <c r="B28" s="13" t="s">
        <v>66</v>
      </c>
      <c r="C28" s="2">
        <v>256310</v>
      </c>
      <c r="D28" s="2">
        <v>266247</v>
      </c>
      <c r="E28" s="2">
        <v>274476</v>
      </c>
      <c r="F28" s="2">
        <v>279560</v>
      </c>
      <c r="G28" s="2">
        <v>281045</v>
      </c>
      <c r="H28" s="2">
        <v>282630</v>
      </c>
      <c r="I28" s="2">
        <v>292269</v>
      </c>
      <c r="J28" s="2">
        <v>308037</v>
      </c>
      <c r="K28" s="2">
        <v>208301</v>
      </c>
      <c r="L28" s="2">
        <v>208301</v>
      </c>
      <c r="M28" s="2">
        <v>200307</v>
      </c>
      <c r="N28" s="2">
        <v>200307</v>
      </c>
      <c r="O28" s="2">
        <v>200307</v>
      </c>
      <c r="P28" s="2">
        <v>3258096</v>
      </c>
      <c r="Q28" s="2">
        <v>250623</v>
      </c>
      <c r="R28" s="1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3"/>
    </row>
    <row r="29" spans="1:34" x14ac:dyDescent="0.25">
      <c r="C29" s="26" t="s">
        <v>67</v>
      </c>
      <c r="D29" s="26" t="s">
        <v>67</v>
      </c>
      <c r="E29" s="26" t="s">
        <v>67</v>
      </c>
      <c r="F29" s="26" t="s">
        <v>67</v>
      </c>
      <c r="G29" s="26" t="s">
        <v>67</v>
      </c>
      <c r="H29" s="26" t="s">
        <v>67</v>
      </c>
      <c r="I29" s="26" t="s">
        <v>67</v>
      </c>
      <c r="J29" s="26" t="s">
        <v>67</v>
      </c>
      <c r="K29" s="26" t="s">
        <v>67</v>
      </c>
      <c r="L29" s="26" t="s">
        <v>67</v>
      </c>
      <c r="M29" s="26" t="s">
        <v>67</v>
      </c>
      <c r="N29" s="26" t="s">
        <v>67</v>
      </c>
      <c r="O29" s="26" t="s">
        <v>67</v>
      </c>
      <c r="P29" s="26" t="s">
        <v>67</v>
      </c>
      <c r="Q29" s="26" t="s">
        <v>67</v>
      </c>
      <c r="R29" s="1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3"/>
    </row>
    <row r="30" spans="1:34" x14ac:dyDescent="0.25">
      <c r="A30" s="21" t="s">
        <v>68</v>
      </c>
      <c r="B30" s="22"/>
      <c r="C30" s="23">
        <v>12225295</v>
      </c>
      <c r="D30" s="23">
        <v>12235232</v>
      </c>
      <c r="E30" s="23">
        <v>12243461</v>
      </c>
      <c r="F30" s="23">
        <v>12244863</v>
      </c>
      <c r="G30" s="23">
        <v>12190512</v>
      </c>
      <c r="H30" s="23">
        <v>12192097</v>
      </c>
      <c r="I30" s="23">
        <v>12201736</v>
      </c>
      <c r="J30" s="23">
        <v>12217504</v>
      </c>
      <c r="K30" s="23">
        <v>12226929</v>
      </c>
      <c r="L30" s="23">
        <v>12194754</v>
      </c>
      <c r="M30" s="23">
        <v>12204811</v>
      </c>
      <c r="N30" s="23">
        <v>12209309</v>
      </c>
      <c r="O30" s="23">
        <v>12191005</v>
      </c>
      <c r="P30" s="23">
        <v>158777507</v>
      </c>
      <c r="Q30" s="23">
        <v>12213654</v>
      </c>
      <c r="R30" s="1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7"/>
    </row>
    <row r="31" spans="1:34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3"/>
    </row>
    <row r="32" spans="1:34" x14ac:dyDescent="0.25">
      <c r="A32" s="21" t="s">
        <v>69</v>
      </c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3"/>
    </row>
    <row r="33" spans="1:34" x14ac:dyDescent="0.25">
      <c r="A33" s="13" t="s">
        <v>70</v>
      </c>
      <c r="B33" s="13" t="s">
        <v>71</v>
      </c>
      <c r="C33" s="2">
        <v>0</v>
      </c>
      <c r="D33" s="2">
        <v>0</v>
      </c>
      <c r="E33" s="2">
        <v>0</v>
      </c>
      <c r="F33" s="2">
        <v>0</v>
      </c>
      <c r="G33" s="2">
        <v>3418</v>
      </c>
      <c r="H33" s="2">
        <v>3418</v>
      </c>
      <c r="I33" s="2">
        <v>0</v>
      </c>
      <c r="J33" s="2">
        <v>0</v>
      </c>
      <c r="K33" s="2">
        <v>0</v>
      </c>
      <c r="L33" s="2">
        <v>1364</v>
      </c>
      <c r="M33" s="2">
        <v>0</v>
      </c>
      <c r="N33" s="2">
        <v>0</v>
      </c>
      <c r="O33" s="2">
        <v>0</v>
      </c>
      <c r="P33" s="2">
        <v>8200</v>
      </c>
      <c r="Q33" s="2">
        <v>631</v>
      </c>
      <c r="R33" s="15"/>
      <c r="S33" s="25" t="s">
        <v>42</v>
      </c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3"/>
    </row>
    <row r="34" spans="1:34" x14ac:dyDescent="0.25">
      <c r="C34" s="26" t="s">
        <v>67</v>
      </c>
      <c r="D34" s="26" t="s">
        <v>67</v>
      </c>
      <c r="E34" s="26" t="s">
        <v>67</v>
      </c>
      <c r="F34" s="26" t="s">
        <v>67</v>
      </c>
      <c r="G34" s="26" t="s">
        <v>67</v>
      </c>
      <c r="H34" s="26" t="s">
        <v>67</v>
      </c>
      <c r="I34" s="26" t="s">
        <v>67</v>
      </c>
      <c r="J34" s="26" t="s">
        <v>67</v>
      </c>
      <c r="K34" s="26" t="s">
        <v>67</v>
      </c>
      <c r="L34" s="26" t="s">
        <v>67</v>
      </c>
      <c r="M34" s="26" t="s">
        <v>67</v>
      </c>
      <c r="N34" s="26" t="s">
        <v>67</v>
      </c>
      <c r="O34" s="26" t="s">
        <v>67</v>
      </c>
      <c r="P34" s="26" t="s">
        <v>67</v>
      </c>
      <c r="Q34" s="26" t="s">
        <v>67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3"/>
    </row>
    <row r="35" spans="1:34" x14ac:dyDescent="0.25">
      <c r="A35" s="21" t="s">
        <v>72</v>
      </c>
      <c r="B35" s="22"/>
      <c r="C35" s="23">
        <v>0</v>
      </c>
      <c r="D35" s="23">
        <v>0</v>
      </c>
      <c r="E35" s="23">
        <v>0</v>
      </c>
      <c r="F35" s="23">
        <v>0</v>
      </c>
      <c r="G35" s="23">
        <v>3418</v>
      </c>
      <c r="H35" s="23">
        <v>3418</v>
      </c>
      <c r="I35" s="23">
        <v>0</v>
      </c>
      <c r="J35" s="23">
        <v>0</v>
      </c>
      <c r="K35" s="23">
        <v>0</v>
      </c>
      <c r="L35" s="23">
        <v>1364</v>
      </c>
      <c r="M35" s="23">
        <v>0</v>
      </c>
      <c r="N35" s="23">
        <v>0</v>
      </c>
      <c r="O35" s="23">
        <v>0</v>
      </c>
      <c r="P35" s="23">
        <v>8200</v>
      </c>
      <c r="Q35" s="23">
        <v>631</v>
      </c>
      <c r="R35" s="15">
        <f>SUM(T35:Y35)-Q35</f>
        <v>-631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27"/>
    </row>
    <row r="36" spans="1:34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3"/>
    </row>
    <row r="37" spans="1:34" x14ac:dyDescent="0.25">
      <c r="A37" s="21" t="s">
        <v>73</v>
      </c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3"/>
    </row>
    <row r="38" spans="1:34" x14ac:dyDescent="0.25">
      <c r="A38" s="13" t="s">
        <v>74</v>
      </c>
      <c r="B38" s="13" t="s">
        <v>75</v>
      </c>
      <c r="C38" s="2">
        <v>1282528</v>
      </c>
      <c r="D38" s="2">
        <v>1234302</v>
      </c>
      <c r="E38" s="2">
        <v>1186004</v>
      </c>
      <c r="F38" s="2">
        <v>1141373</v>
      </c>
      <c r="G38" s="2">
        <v>-737548</v>
      </c>
      <c r="H38" s="2">
        <v>-785378</v>
      </c>
      <c r="I38" s="2">
        <v>-833211</v>
      </c>
      <c r="J38" s="2">
        <v>-881257</v>
      </c>
      <c r="K38" s="2">
        <v>-929435</v>
      </c>
      <c r="L38" s="2">
        <v>-945516</v>
      </c>
      <c r="M38" s="2">
        <v>-993504</v>
      </c>
      <c r="N38" s="2">
        <v>-1041575</v>
      </c>
      <c r="O38" s="2">
        <v>-913291</v>
      </c>
      <c r="P38" s="2">
        <v>-3216507</v>
      </c>
      <c r="Q38" s="2">
        <v>-247424</v>
      </c>
      <c r="R38" s="24"/>
      <c r="S38" s="25" t="s">
        <v>42</v>
      </c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3"/>
    </row>
    <row r="39" spans="1:34" x14ac:dyDescent="0.25">
      <c r="A39" s="13" t="s">
        <v>45</v>
      </c>
      <c r="B39" s="13" t="s">
        <v>76</v>
      </c>
      <c r="C39" s="2">
        <v>-181320</v>
      </c>
      <c r="D39" s="2">
        <v>-181320</v>
      </c>
      <c r="E39" s="2">
        <v>-181320</v>
      </c>
      <c r="F39" s="2">
        <v>-181320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-725282</v>
      </c>
      <c r="Q39" s="2">
        <v>-55791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3"/>
    </row>
    <row r="40" spans="1:34" x14ac:dyDescent="0.25">
      <c r="A40" s="13" t="s">
        <v>47</v>
      </c>
      <c r="B40" s="13" t="s">
        <v>77</v>
      </c>
      <c r="C40" s="2">
        <v>-377336</v>
      </c>
      <c r="D40" s="2">
        <v>-377336</v>
      </c>
      <c r="E40" s="2">
        <v>-377336</v>
      </c>
      <c r="F40" s="2">
        <v>-377336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-1509345</v>
      </c>
      <c r="Q40" s="2">
        <v>-116103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3"/>
    </row>
    <row r="41" spans="1:34" x14ac:dyDescent="0.25">
      <c r="A41" s="13" t="s">
        <v>49</v>
      </c>
      <c r="B41" s="13" t="s">
        <v>78</v>
      </c>
      <c r="C41" s="2">
        <v>347516</v>
      </c>
      <c r="D41" s="2">
        <v>347516</v>
      </c>
      <c r="E41" s="2">
        <v>347516</v>
      </c>
      <c r="F41" s="2">
        <v>347516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1390064</v>
      </c>
      <c r="Q41" s="2">
        <v>106928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3"/>
    </row>
    <row r="42" spans="1:34" x14ac:dyDescent="0.25">
      <c r="A42" s="13" t="s">
        <v>51</v>
      </c>
      <c r="B42" s="13" t="s">
        <v>79</v>
      </c>
      <c r="C42" s="2">
        <v>162420</v>
      </c>
      <c r="D42" s="2">
        <v>162420</v>
      </c>
      <c r="E42" s="2">
        <v>162420</v>
      </c>
      <c r="F42" s="2">
        <v>162420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649680</v>
      </c>
      <c r="Q42" s="2">
        <v>49975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3"/>
    </row>
    <row r="43" spans="1:34" x14ac:dyDescent="0.25">
      <c r="A43" s="13" t="s">
        <v>53</v>
      </c>
      <c r="B43" s="13" t="s">
        <v>80</v>
      </c>
      <c r="C43" s="2">
        <v>-1379260</v>
      </c>
      <c r="D43" s="2">
        <v>-1379260</v>
      </c>
      <c r="E43" s="2">
        <v>-1379260</v>
      </c>
      <c r="F43" s="2">
        <v>-1379260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-5517042</v>
      </c>
      <c r="Q43" s="2">
        <v>-424388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3"/>
    </row>
    <row r="44" spans="1:34" x14ac:dyDescent="0.25">
      <c r="A44" s="13" t="s">
        <v>55</v>
      </c>
      <c r="B44" s="13" t="s">
        <v>81</v>
      </c>
      <c r="C44" s="2">
        <v>-93792</v>
      </c>
      <c r="D44" s="2">
        <v>-93792</v>
      </c>
      <c r="E44" s="2">
        <v>-93792</v>
      </c>
      <c r="F44" s="2">
        <v>-93792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-375167</v>
      </c>
      <c r="Q44" s="2">
        <v>-28859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3"/>
    </row>
    <row r="45" spans="1:34" x14ac:dyDescent="0.25">
      <c r="A45" s="13" t="s">
        <v>57</v>
      </c>
      <c r="B45" s="13" t="s">
        <v>82</v>
      </c>
      <c r="C45" s="2">
        <v>-237842</v>
      </c>
      <c r="D45" s="2">
        <v>-237842</v>
      </c>
      <c r="E45" s="2">
        <v>-237842</v>
      </c>
      <c r="F45" s="2">
        <v>-237842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-951369</v>
      </c>
      <c r="Q45" s="2">
        <v>-73182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3"/>
    </row>
    <row r="46" spans="1:34" x14ac:dyDescent="0.25">
      <c r="A46" s="13" t="s">
        <v>59</v>
      </c>
      <c r="B46" s="13" t="s">
        <v>83</v>
      </c>
      <c r="C46" s="2">
        <v>-99101</v>
      </c>
      <c r="D46" s="2">
        <v>-99101</v>
      </c>
      <c r="E46" s="2">
        <v>-99101</v>
      </c>
      <c r="F46" s="2">
        <v>-99101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-396402</v>
      </c>
      <c r="Q46" s="2">
        <v>-30492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3"/>
    </row>
    <row r="47" spans="1:34" x14ac:dyDescent="0.25">
      <c r="A47" s="13" t="s">
        <v>61</v>
      </c>
      <c r="B47" s="13" t="s">
        <v>84</v>
      </c>
      <c r="C47" s="2">
        <v>-2779</v>
      </c>
      <c r="D47" s="2">
        <v>-2779</v>
      </c>
      <c r="E47" s="2">
        <v>-2779</v>
      </c>
      <c r="F47" s="2">
        <v>-2779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-11117</v>
      </c>
      <c r="Q47" s="2">
        <v>-855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3"/>
    </row>
    <row r="48" spans="1:34" x14ac:dyDescent="0.25">
      <c r="A48" s="13" t="s">
        <v>63</v>
      </c>
      <c r="B48" s="13" t="s">
        <v>85</v>
      </c>
      <c r="C48" s="2">
        <v>-24970</v>
      </c>
      <c r="D48" s="2">
        <v>-24970</v>
      </c>
      <c r="E48" s="2">
        <v>-24970</v>
      </c>
      <c r="F48" s="2">
        <v>-24970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-99881</v>
      </c>
      <c r="Q48" s="2">
        <v>-7683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3"/>
    </row>
    <row r="49" spans="1:34" x14ac:dyDescent="0.25">
      <c r="A49" s="28" t="s">
        <v>86</v>
      </c>
      <c r="B49" s="28" t="s">
        <v>87</v>
      </c>
      <c r="C49" s="29">
        <v>30205</v>
      </c>
      <c r="D49" s="29">
        <v>32003</v>
      </c>
      <c r="E49" s="29">
        <v>32006</v>
      </c>
      <c r="F49" s="29">
        <v>32022</v>
      </c>
      <c r="G49" s="29">
        <v>32001</v>
      </c>
      <c r="H49" s="29">
        <v>31539</v>
      </c>
      <c r="I49" s="29">
        <v>31497</v>
      </c>
      <c r="J49" s="29">
        <v>31475</v>
      </c>
      <c r="K49" s="29">
        <v>31520</v>
      </c>
      <c r="L49" s="29">
        <v>31520</v>
      </c>
      <c r="M49" s="29">
        <v>31252</v>
      </c>
      <c r="N49" s="29">
        <v>31252</v>
      </c>
      <c r="O49" s="29">
        <v>25334</v>
      </c>
      <c r="P49" s="29">
        <v>403625</v>
      </c>
      <c r="Q49" s="29">
        <v>31048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3"/>
    </row>
    <row r="50" spans="1:34" x14ac:dyDescent="0.25">
      <c r="A50" s="28" t="s">
        <v>88</v>
      </c>
      <c r="B50" s="28" t="s">
        <v>89</v>
      </c>
      <c r="C50" s="29">
        <v>18026</v>
      </c>
      <c r="D50" s="29">
        <v>16224</v>
      </c>
      <c r="E50" s="29">
        <v>16291</v>
      </c>
      <c r="F50" s="29">
        <v>16291</v>
      </c>
      <c r="G50" s="29">
        <v>16291</v>
      </c>
      <c r="H50" s="29">
        <v>16291</v>
      </c>
      <c r="I50" s="29">
        <v>16291</v>
      </c>
      <c r="J50" s="29">
        <v>16526</v>
      </c>
      <c r="K50" s="29">
        <v>16658</v>
      </c>
      <c r="L50" s="29">
        <v>16736</v>
      </c>
      <c r="M50" s="29">
        <v>16736</v>
      </c>
      <c r="N50" s="29">
        <v>16820</v>
      </c>
      <c r="O50" s="29">
        <v>22241</v>
      </c>
      <c r="P50" s="29">
        <v>221422</v>
      </c>
      <c r="Q50" s="29">
        <v>17032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3"/>
    </row>
    <row r="51" spans="1:34" x14ac:dyDescent="0.25">
      <c r="A51" s="28" t="s">
        <v>90</v>
      </c>
      <c r="B51" s="28" t="s">
        <v>91</v>
      </c>
      <c r="C51" s="29">
        <v>-45669</v>
      </c>
      <c r="D51" s="29">
        <v>-45669</v>
      </c>
      <c r="E51" s="29">
        <v>-45669</v>
      </c>
      <c r="F51" s="29">
        <v>-45669</v>
      </c>
      <c r="G51" s="29">
        <v>-45669</v>
      </c>
      <c r="H51" s="29">
        <v>-45669</v>
      </c>
      <c r="I51" s="29">
        <v>-45669</v>
      </c>
      <c r="J51" s="29">
        <v>-45669</v>
      </c>
      <c r="K51" s="29">
        <v>-45669</v>
      </c>
      <c r="L51" s="29">
        <v>-45669</v>
      </c>
      <c r="M51" s="29">
        <v>-45669</v>
      </c>
      <c r="N51" s="29">
        <v>-45669</v>
      </c>
      <c r="O51" s="29">
        <v>-45669</v>
      </c>
      <c r="P51" s="29">
        <v>-593703</v>
      </c>
      <c r="Q51" s="29">
        <v>-45669</v>
      </c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3"/>
    </row>
    <row r="52" spans="1:34" x14ac:dyDescent="0.25">
      <c r="C52" s="26" t="s">
        <v>67</v>
      </c>
      <c r="D52" s="26" t="s">
        <v>67</v>
      </c>
      <c r="E52" s="26" t="s">
        <v>67</v>
      </c>
      <c r="F52" s="26" t="s">
        <v>67</v>
      </c>
      <c r="G52" s="26" t="s">
        <v>67</v>
      </c>
      <c r="H52" s="26" t="s">
        <v>67</v>
      </c>
      <c r="I52" s="26" t="s">
        <v>67</v>
      </c>
      <c r="J52" s="26" t="s">
        <v>67</v>
      </c>
      <c r="K52" s="26" t="s">
        <v>67</v>
      </c>
      <c r="L52" s="26" t="s">
        <v>67</v>
      </c>
      <c r="M52" s="26" t="s">
        <v>67</v>
      </c>
      <c r="N52" s="26" t="s">
        <v>67</v>
      </c>
      <c r="O52" s="26" t="s">
        <v>67</v>
      </c>
      <c r="P52" s="26" t="s">
        <v>67</v>
      </c>
      <c r="Q52" s="26" t="s">
        <v>67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3"/>
    </row>
    <row r="53" spans="1:34" x14ac:dyDescent="0.25">
      <c r="A53" s="21" t="s">
        <v>92</v>
      </c>
      <c r="B53" s="22"/>
      <c r="C53" s="23">
        <v>-601375</v>
      </c>
      <c r="D53" s="23">
        <v>-649606</v>
      </c>
      <c r="E53" s="23">
        <v>-697833</v>
      </c>
      <c r="F53" s="23">
        <v>-742448</v>
      </c>
      <c r="G53" s="23">
        <v>-734925</v>
      </c>
      <c r="H53" s="23">
        <v>-783218</v>
      </c>
      <c r="I53" s="23">
        <v>-831093</v>
      </c>
      <c r="J53" s="23">
        <v>-878925</v>
      </c>
      <c r="K53" s="23">
        <v>-926927</v>
      </c>
      <c r="L53" s="23">
        <v>-942929</v>
      </c>
      <c r="M53" s="23">
        <v>-991185</v>
      </c>
      <c r="N53" s="23">
        <v>-1039173</v>
      </c>
      <c r="O53" s="23">
        <v>-911386</v>
      </c>
      <c r="P53" s="23">
        <v>-10731023</v>
      </c>
      <c r="Q53" s="23">
        <v>-825463</v>
      </c>
      <c r="R53" s="15">
        <f>SUM(T53:Y53)-Q53</f>
        <v>825463</v>
      </c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27"/>
    </row>
    <row r="54" spans="1:34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3"/>
    </row>
    <row r="55" spans="1:34" ht="15.75" x14ac:dyDescent="0.3">
      <c r="A55" s="18" t="s">
        <v>93</v>
      </c>
      <c r="B55" s="19"/>
      <c r="C55" s="20">
        <v>11623920</v>
      </c>
      <c r="D55" s="20">
        <v>11585626</v>
      </c>
      <c r="E55" s="20">
        <v>11545628</v>
      </c>
      <c r="F55" s="20">
        <v>11502415</v>
      </c>
      <c r="G55" s="20">
        <v>11459004</v>
      </c>
      <c r="H55" s="20">
        <v>11412297</v>
      </c>
      <c r="I55" s="20">
        <v>11370644</v>
      </c>
      <c r="J55" s="20">
        <v>11338578</v>
      </c>
      <c r="K55" s="20">
        <v>11300002</v>
      </c>
      <c r="L55" s="20">
        <v>11253189</v>
      </c>
      <c r="M55" s="20">
        <v>11213626</v>
      </c>
      <c r="N55" s="20">
        <v>11170136</v>
      </c>
      <c r="O55" s="20">
        <v>11279619</v>
      </c>
      <c r="P55" s="20">
        <v>148054684</v>
      </c>
      <c r="Q55" s="20">
        <v>11388822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3"/>
    </row>
    <row r="56" spans="1:34" ht="15.75" x14ac:dyDescent="0.3">
      <c r="A56" s="18" t="s">
        <v>94</v>
      </c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3"/>
    </row>
    <row r="57" spans="1:34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3"/>
    </row>
    <row r="58" spans="1:34" x14ac:dyDescent="0.25">
      <c r="A58" s="21" t="s">
        <v>95</v>
      </c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3"/>
    </row>
    <row r="59" spans="1:34" x14ac:dyDescent="0.25">
      <c r="A59" s="13" t="s">
        <v>96</v>
      </c>
      <c r="B59" s="13" t="s">
        <v>97</v>
      </c>
      <c r="C59" s="2">
        <v>19699280</v>
      </c>
      <c r="D59" s="2">
        <v>19699280</v>
      </c>
      <c r="E59" s="2">
        <v>19699280</v>
      </c>
      <c r="F59" s="2">
        <v>19699280</v>
      </c>
      <c r="G59" s="2">
        <v>19699280</v>
      </c>
      <c r="H59" s="2">
        <v>19699280</v>
      </c>
      <c r="I59" s="2">
        <v>19699280</v>
      </c>
      <c r="J59" s="2">
        <v>19699280</v>
      </c>
      <c r="K59" s="2">
        <v>19699280</v>
      </c>
      <c r="L59" s="2">
        <v>19699280</v>
      </c>
      <c r="M59" s="2">
        <v>19699280</v>
      </c>
      <c r="N59" s="2">
        <v>19699280</v>
      </c>
      <c r="O59" s="2">
        <v>19699280</v>
      </c>
      <c r="P59" s="2">
        <v>256090643</v>
      </c>
      <c r="Q59" s="2">
        <v>19699280</v>
      </c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3"/>
    </row>
    <row r="60" spans="1:34" x14ac:dyDescent="0.25">
      <c r="A60" s="13" t="s">
        <v>98</v>
      </c>
      <c r="B60" s="13" t="s">
        <v>99</v>
      </c>
      <c r="C60" s="2">
        <v>9502865</v>
      </c>
      <c r="D60" s="2">
        <v>9502865</v>
      </c>
      <c r="E60" s="2">
        <v>9502865</v>
      </c>
      <c r="F60" s="2">
        <v>9502865</v>
      </c>
      <c r="G60" s="2">
        <v>9502865</v>
      </c>
      <c r="H60" s="2">
        <v>9502865</v>
      </c>
      <c r="I60" s="2">
        <v>9502865</v>
      </c>
      <c r="J60" s="2">
        <v>9502865</v>
      </c>
      <c r="K60" s="2">
        <v>9502865</v>
      </c>
      <c r="L60" s="2">
        <v>9502865</v>
      </c>
      <c r="M60" s="2">
        <v>9502865</v>
      </c>
      <c r="N60" s="2">
        <v>9502865</v>
      </c>
      <c r="O60" s="2">
        <v>9502865</v>
      </c>
      <c r="P60" s="2">
        <v>123537243</v>
      </c>
      <c r="Q60" s="2">
        <v>9502865</v>
      </c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3"/>
    </row>
    <row r="61" spans="1:34" x14ac:dyDescent="0.25">
      <c r="A61" s="13" t="s">
        <v>100</v>
      </c>
      <c r="B61" s="13" t="s">
        <v>101</v>
      </c>
      <c r="C61" s="2">
        <v>-234850</v>
      </c>
      <c r="D61" s="2">
        <v>-234850</v>
      </c>
      <c r="E61" s="2">
        <v>-234850</v>
      </c>
      <c r="F61" s="2">
        <v>-234850</v>
      </c>
      <c r="G61" s="2">
        <v>-234850</v>
      </c>
      <c r="H61" s="2">
        <v>-234850</v>
      </c>
      <c r="I61" s="2">
        <v>-234850</v>
      </c>
      <c r="J61" s="2">
        <v>-234850</v>
      </c>
      <c r="K61" s="2">
        <v>-234850</v>
      </c>
      <c r="L61" s="2">
        <v>-234850</v>
      </c>
      <c r="M61" s="2">
        <v>-234850</v>
      </c>
      <c r="N61" s="2">
        <v>-234850</v>
      </c>
      <c r="O61" s="2">
        <v>-234850</v>
      </c>
      <c r="P61" s="2">
        <v>-3053054</v>
      </c>
      <c r="Q61" s="2">
        <v>-234850</v>
      </c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3"/>
    </row>
    <row r="62" spans="1:34" x14ac:dyDescent="0.25">
      <c r="A62" s="13" t="s">
        <v>102</v>
      </c>
      <c r="B62" s="13" t="s">
        <v>103</v>
      </c>
      <c r="C62" s="2">
        <v>2980568</v>
      </c>
      <c r="D62" s="2">
        <v>2980568</v>
      </c>
      <c r="E62" s="2">
        <v>2980568</v>
      </c>
      <c r="F62" s="2">
        <v>2980568</v>
      </c>
      <c r="G62" s="2">
        <v>2980568</v>
      </c>
      <c r="H62" s="2">
        <v>2980568</v>
      </c>
      <c r="I62" s="2">
        <v>2980568</v>
      </c>
      <c r="J62" s="2">
        <v>2980568</v>
      </c>
      <c r="K62" s="2">
        <v>2980568</v>
      </c>
      <c r="L62" s="2">
        <v>2980568</v>
      </c>
      <c r="M62" s="2">
        <v>2980568</v>
      </c>
      <c r="N62" s="2">
        <v>2980568</v>
      </c>
      <c r="O62" s="2">
        <v>2980568</v>
      </c>
      <c r="P62" s="2">
        <v>38747388</v>
      </c>
      <c r="Q62" s="2">
        <v>2980568</v>
      </c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3"/>
    </row>
    <row r="63" spans="1:34" x14ac:dyDescent="0.25">
      <c r="A63" s="13" t="s">
        <v>104</v>
      </c>
      <c r="B63" s="13" t="s">
        <v>105</v>
      </c>
      <c r="C63" s="2">
        <v>77756946</v>
      </c>
      <c r="D63" s="2">
        <v>77756946</v>
      </c>
      <c r="E63" s="2">
        <v>77756946</v>
      </c>
      <c r="F63" s="2">
        <v>77756946</v>
      </c>
      <c r="G63" s="2">
        <v>77756946</v>
      </c>
      <c r="H63" s="2">
        <v>77756946</v>
      </c>
      <c r="I63" s="2">
        <v>77756946</v>
      </c>
      <c r="J63" s="2">
        <v>77756946</v>
      </c>
      <c r="K63" s="2">
        <v>77756946</v>
      </c>
      <c r="L63" s="2">
        <v>77756946</v>
      </c>
      <c r="M63" s="2">
        <v>77756946</v>
      </c>
      <c r="N63" s="2">
        <v>77756946</v>
      </c>
      <c r="O63" s="2">
        <v>77756946</v>
      </c>
      <c r="P63" s="2">
        <v>1010840295</v>
      </c>
      <c r="Q63" s="2">
        <v>77756946</v>
      </c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3"/>
    </row>
    <row r="64" spans="1:34" x14ac:dyDescent="0.25">
      <c r="A64" s="13" t="s">
        <v>106</v>
      </c>
      <c r="B64" s="13" t="s">
        <v>107</v>
      </c>
      <c r="C64" s="2">
        <v>-388179</v>
      </c>
      <c r="D64" s="2">
        <v>-388179</v>
      </c>
      <c r="E64" s="2">
        <v>-388179</v>
      </c>
      <c r="F64" s="2">
        <v>-388179</v>
      </c>
      <c r="G64" s="2">
        <v>-388179</v>
      </c>
      <c r="H64" s="2">
        <v>-388179</v>
      </c>
      <c r="I64" s="2">
        <v>-388179</v>
      </c>
      <c r="J64" s="2">
        <v>-388179</v>
      </c>
      <c r="K64" s="2">
        <v>-388179</v>
      </c>
      <c r="L64" s="2">
        <v>-388179</v>
      </c>
      <c r="M64" s="2">
        <v>-388179</v>
      </c>
      <c r="N64" s="2">
        <v>-388179</v>
      </c>
      <c r="O64" s="2">
        <v>-388179</v>
      </c>
      <c r="P64" s="2">
        <v>-5046328</v>
      </c>
      <c r="Q64" s="2">
        <v>-388179</v>
      </c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3"/>
    </row>
    <row r="65" spans="1:34" x14ac:dyDescent="0.25">
      <c r="C65" s="26" t="s">
        <v>67</v>
      </c>
      <c r="D65" s="26" t="s">
        <v>67</v>
      </c>
      <c r="E65" s="26" t="s">
        <v>67</v>
      </c>
      <c r="F65" s="26" t="s">
        <v>67</v>
      </c>
      <c r="G65" s="26" t="s">
        <v>67</v>
      </c>
      <c r="H65" s="26" t="s">
        <v>67</v>
      </c>
      <c r="I65" s="26" t="s">
        <v>67</v>
      </c>
      <c r="J65" s="26" t="s">
        <v>67</v>
      </c>
      <c r="K65" s="26" t="s">
        <v>67</v>
      </c>
      <c r="L65" s="26" t="s">
        <v>67</v>
      </c>
      <c r="M65" s="26" t="s">
        <v>67</v>
      </c>
      <c r="N65" s="26" t="s">
        <v>67</v>
      </c>
      <c r="O65" s="26" t="s">
        <v>67</v>
      </c>
      <c r="P65" s="26" t="s">
        <v>67</v>
      </c>
      <c r="Q65" s="26" t="s">
        <v>67</v>
      </c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3"/>
    </row>
    <row r="66" spans="1:34" x14ac:dyDescent="0.25">
      <c r="A66" s="21" t="s">
        <v>108</v>
      </c>
      <c r="B66" s="22"/>
      <c r="C66" s="23">
        <v>109316630</v>
      </c>
      <c r="D66" s="23">
        <v>109316630</v>
      </c>
      <c r="E66" s="23">
        <v>109316630</v>
      </c>
      <c r="F66" s="23">
        <v>109316630</v>
      </c>
      <c r="G66" s="23">
        <v>109316630</v>
      </c>
      <c r="H66" s="23">
        <v>109316630</v>
      </c>
      <c r="I66" s="23">
        <v>109316630</v>
      </c>
      <c r="J66" s="23">
        <v>109316630</v>
      </c>
      <c r="K66" s="23">
        <v>109316630</v>
      </c>
      <c r="L66" s="23">
        <v>109316630</v>
      </c>
      <c r="M66" s="23">
        <v>109316630</v>
      </c>
      <c r="N66" s="23">
        <v>109316630</v>
      </c>
      <c r="O66" s="23">
        <v>109316630</v>
      </c>
      <c r="P66" s="23">
        <v>1421116186</v>
      </c>
      <c r="Q66" s="23">
        <v>109316630</v>
      </c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3"/>
    </row>
    <row r="67" spans="1:34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3"/>
    </row>
    <row r="68" spans="1:34" ht="15.75" x14ac:dyDescent="0.3">
      <c r="A68" s="18" t="s">
        <v>109</v>
      </c>
      <c r="B68" s="19"/>
      <c r="C68" s="20">
        <v>109316630</v>
      </c>
      <c r="D68" s="20">
        <v>109316630</v>
      </c>
      <c r="E68" s="20">
        <v>109316630</v>
      </c>
      <c r="F68" s="20">
        <v>109316630</v>
      </c>
      <c r="G68" s="20">
        <v>109316630</v>
      </c>
      <c r="H68" s="20">
        <v>109316630</v>
      </c>
      <c r="I68" s="20">
        <v>109316630</v>
      </c>
      <c r="J68" s="20">
        <v>109316630</v>
      </c>
      <c r="K68" s="20">
        <v>109316630</v>
      </c>
      <c r="L68" s="20">
        <v>109316630</v>
      </c>
      <c r="M68" s="20">
        <v>109316630</v>
      </c>
      <c r="N68" s="20">
        <v>109316630</v>
      </c>
      <c r="O68" s="20">
        <v>109316630</v>
      </c>
      <c r="P68" s="20">
        <v>1421116186</v>
      </c>
      <c r="Q68" s="20">
        <v>109316630</v>
      </c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3"/>
    </row>
    <row r="69" spans="1:34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3"/>
    </row>
    <row r="70" spans="1:34" ht="15.75" x14ac:dyDescent="0.3">
      <c r="A70" s="18" t="s">
        <v>110</v>
      </c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3"/>
    </row>
    <row r="71" spans="1:34" x14ac:dyDescent="0.2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3"/>
    </row>
    <row r="72" spans="1:34" x14ac:dyDescent="0.25">
      <c r="A72" s="21" t="s">
        <v>111</v>
      </c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3"/>
    </row>
    <row r="73" spans="1:34" x14ac:dyDescent="0.25">
      <c r="A73" s="13" t="s">
        <v>112</v>
      </c>
      <c r="B73" s="13" t="s">
        <v>113</v>
      </c>
      <c r="C73" s="2">
        <v>-1389376</v>
      </c>
      <c r="D73" s="2">
        <v>-2744921</v>
      </c>
      <c r="E73" s="2">
        <v>-242641</v>
      </c>
      <c r="F73" s="2">
        <v>-1312016</v>
      </c>
      <c r="G73" s="2">
        <v>-2757235</v>
      </c>
      <c r="H73" s="2">
        <v>-366717</v>
      </c>
      <c r="I73" s="2">
        <v>-1716584</v>
      </c>
      <c r="J73" s="2">
        <v>-1409018</v>
      </c>
      <c r="K73" s="2">
        <v>-459564</v>
      </c>
      <c r="L73" s="2">
        <v>-534721</v>
      </c>
      <c r="M73" s="2">
        <v>701523</v>
      </c>
      <c r="N73" s="2">
        <v>-547137</v>
      </c>
      <c r="O73" s="2">
        <v>279594</v>
      </c>
      <c r="P73" s="2">
        <v>-12498814</v>
      </c>
      <c r="Q73" s="2">
        <v>-961447</v>
      </c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3"/>
    </row>
    <row r="74" spans="1:34" x14ac:dyDescent="0.25">
      <c r="A74" s="13" t="s">
        <v>114</v>
      </c>
      <c r="B74" s="13" t="s">
        <v>115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-283637</v>
      </c>
      <c r="L74" s="2">
        <v>-471767</v>
      </c>
      <c r="M74" s="2">
        <v>-1607513</v>
      </c>
      <c r="N74" s="2">
        <v>-10250485</v>
      </c>
      <c r="O74" s="2">
        <v>-532716</v>
      </c>
      <c r="P74" s="2">
        <v>-13146118</v>
      </c>
      <c r="Q74" s="2">
        <v>-1011240</v>
      </c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3"/>
    </row>
    <row r="75" spans="1:34" x14ac:dyDescent="0.25">
      <c r="A75" s="13" t="s">
        <v>116</v>
      </c>
      <c r="B75" s="13" t="s">
        <v>117</v>
      </c>
      <c r="C75" s="2">
        <v>-6300</v>
      </c>
      <c r="D75" s="2">
        <v>-6300</v>
      </c>
      <c r="E75" s="2">
        <v>-6300</v>
      </c>
      <c r="F75" s="2">
        <v>-6300</v>
      </c>
      <c r="G75" s="2">
        <v>-6300</v>
      </c>
      <c r="H75" s="2">
        <v>-6300</v>
      </c>
      <c r="I75" s="2">
        <v>-6300</v>
      </c>
      <c r="J75" s="2">
        <v>-6300</v>
      </c>
      <c r="K75" s="2">
        <v>-6300</v>
      </c>
      <c r="L75" s="2">
        <v>-6300</v>
      </c>
      <c r="M75" s="2">
        <v>-3980</v>
      </c>
      <c r="N75" s="2">
        <v>-3980</v>
      </c>
      <c r="O75" s="2">
        <v>-3980</v>
      </c>
      <c r="P75" s="2">
        <v>-74942</v>
      </c>
      <c r="Q75" s="2">
        <v>-5765</v>
      </c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3"/>
    </row>
    <row r="76" spans="1:34" x14ac:dyDescent="0.25">
      <c r="A76" s="13" t="s">
        <v>118</v>
      </c>
      <c r="B76" s="13" t="s">
        <v>119</v>
      </c>
      <c r="C76" s="2">
        <v>1750274</v>
      </c>
      <c r="D76" s="2">
        <v>2859989</v>
      </c>
      <c r="E76" s="2">
        <v>2216786</v>
      </c>
      <c r="F76" s="2">
        <v>2598019</v>
      </c>
      <c r="G76" s="2">
        <v>1508544</v>
      </c>
      <c r="H76" s="2">
        <v>2307120</v>
      </c>
      <c r="I76" s="2">
        <v>2774574</v>
      </c>
      <c r="J76" s="2">
        <v>1709538</v>
      </c>
      <c r="K76" s="2">
        <v>1339343</v>
      </c>
      <c r="L76" s="2">
        <v>3986040</v>
      </c>
      <c r="M76" s="2">
        <v>2153479</v>
      </c>
      <c r="N76" s="2">
        <v>1538569</v>
      </c>
      <c r="O76" s="2">
        <v>1662505</v>
      </c>
      <c r="P76" s="2">
        <v>28404780</v>
      </c>
      <c r="Q76" s="2">
        <v>2184983</v>
      </c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3"/>
    </row>
    <row r="77" spans="1:34" x14ac:dyDescent="0.25">
      <c r="A77" s="30" t="s">
        <v>120</v>
      </c>
      <c r="B77" s="31"/>
      <c r="C77" s="32"/>
      <c r="D77" s="32"/>
      <c r="E77" s="32"/>
      <c r="F77" s="32"/>
      <c r="G77" s="32">
        <v>1254991</v>
      </c>
      <c r="H77" s="32"/>
      <c r="I77" s="32"/>
      <c r="J77" s="32"/>
      <c r="K77" s="32"/>
      <c r="L77" s="32"/>
      <c r="M77" s="32"/>
      <c r="N77" s="32">
        <v>9263033</v>
      </c>
      <c r="O77" s="32"/>
      <c r="P77" s="24">
        <f t="shared" ref="P77" si="0">SUM(C77:O77)</f>
        <v>10518024</v>
      </c>
      <c r="Q77" s="32">
        <f>+P77/13</f>
        <v>809078.76923076925</v>
      </c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4"/>
    </row>
    <row r="78" spans="1:34" x14ac:dyDescent="0.25">
      <c r="A78" s="35"/>
      <c r="B78" s="35"/>
      <c r="C78" s="36" t="s">
        <v>67</v>
      </c>
      <c r="D78" s="36" t="s">
        <v>67</v>
      </c>
      <c r="E78" s="36" t="s">
        <v>67</v>
      </c>
      <c r="F78" s="36" t="s">
        <v>67</v>
      </c>
      <c r="G78" s="36" t="s">
        <v>67</v>
      </c>
      <c r="H78" s="36" t="s">
        <v>67</v>
      </c>
      <c r="I78" s="36" t="s">
        <v>67</v>
      </c>
      <c r="J78" s="36" t="s">
        <v>67</v>
      </c>
      <c r="K78" s="36" t="s">
        <v>67</v>
      </c>
      <c r="L78" s="36" t="s">
        <v>67</v>
      </c>
      <c r="M78" s="36" t="s">
        <v>67</v>
      </c>
      <c r="N78" s="36" t="s">
        <v>67</v>
      </c>
      <c r="O78" s="36" t="s">
        <v>67</v>
      </c>
      <c r="P78" s="36" t="s">
        <v>67</v>
      </c>
      <c r="Q78" s="36" t="s">
        <v>67</v>
      </c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3"/>
    </row>
    <row r="79" spans="1:34" x14ac:dyDescent="0.25">
      <c r="A79" s="37" t="s">
        <v>121</v>
      </c>
      <c r="B79" s="38"/>
      <c r="C79" s="39">
        <f>SUM(C73:C77)</f>
        <v>354598</v>
      </c>
      <c r="D79" s="39">
        <f t="shared" ref="D79:Q79" si="1">SUM(D73:D77)</f>
        <v>108768</v>
      </c>
      <c r="E79" s="39">
        <f t="shared" si="1"/>
        <v>1967845</v>
      </c>
      <c r="F79" s="39">
        <f t="shared" si="1"/>
        <v>1279703</v>
      </c>
      <c r="G79" s="39">
        <f t="shared" si="1"/>
        <v>0</v>
      </c>
      <c r="H79" s="39">
        <f t="shared" si="1"/>
        <v>1934103</v>
      </c>
      <c r="I79" s="39">
        <f t="shared" si="1"/>
        <v>1051690</v>
      </c>
      <c r="J79" s="39">
        <f t="shared" si="1"/>
        <v>294220</v>
      </c>
      <c r="K79" s="39">
        <f t="shared" si="1"/>
        <v>589842</v>
      </c>
      <c r="L79" s="39">
        <f t="shared" si="1"/>
        <v>2973252</v>
      </c>
      <c r="M79" s="39">
        <f t="shared" si="1"/>
        <v>1243509</v>
      </c>
      <c r="N79" s="39">
        <f t="shared" si="1"/>
        <v>0</v>
      </c>
      <c r="O79" s="39">
        <f t="shared" si="1"/>
        <v>1405403</v>
      </c>
      <c r="P79" s="39">
        <f t="shared" si="1"/>
        <v>13202930</v>
      </c>
      <c r="Q79" s="39">
        <f t="shared" si="1"/>
        <v>1015609.7692307692</v>
      </c>
      <c r="R79" s="15">
        <f>SUM(T79:Y79)-Q79</f>
        <v>0</v>
      </c>
      <c r="S79" s="15" t="s">
        <v>16</v>
      </c>
      <c r="T79" s="15">
        <f>$Q79*T$5</f>
        <v>216324.88084615386</v>
      </c>
      <c r="U79" s="15">
        <f t="shared" ref="U79:Y79" si="2">$Q79*U$5</f>
        <v>353432.19969230768</v>
      </c>
      <c r="V79" s="15">
        <f t="shared" si="2"/>
        <v>146247.80676923075</v>
      </c>
      <c r="W79" s="15">
        <f t="shared" si="2"/>
        <v>1015.6097692307693</v>
      </c>
      <c r="X79" s="15">
        <f t="shared" si="2"/>
        <v>1015.6097692307693</v>
      </c>
      <c r="Y79" s="15">
        <f t="shared" si="2"/>
        <v>297573.6623846154</v>
      </c>
      <c r="Z79" s="15"/>
      <c r="AA79" s="15" t="s">
        <v>16</v>
      </c>
      <c r="AB79" s="15">
        <f>$O79*AB$5</f>
        <v>299350.83899999998</v>
      </c>
      <c r="AC79" s="15">
        <f t="shared" ref="AC79:AG79" si="3">$O79*AC$5</f>
        <v>489080.24399999995</v>
      </c>
      <c r="AD79" s="15">
        <f t="shared" si="3"/>
        <v>202378.03199999998</v>
      </c>
      <c r="AE79" s="15">
        <f t="shared" si="3"/>
        <v>1405.403</v>
      </c>
      <c r="AF79" s="15">
        <f t="shared" si="3"/>
        <v>1405.403</v>
      </c>
      <c r="AG79" s="15">
        <f t="shared" si="3"/>
        <v>411783.07899999997</v>
      </c>
      <c r="AH79" s="27">
        <f>SUM(AB79:AG79)-O79</f>
        <v>0</v>
      </c>
    </row>
    <row r="80" spans="1:34" x14ac:dyDescent="0.25">
      <c r="A80" s="35"/>
      <c r="B80" s="35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3"/>
    </row>
    <row r="81" spans="1:34" x14ac:dyDescent="0.25">
      <c r="A81" s="21" t="s">
        <v>122</v>
      </c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3"/>
    </row>
    <row r="82" spans="1:34" x14ac:dyDescent="0.25">
      <c r="A82" s="13" t="s">
        <v>123</v>
      </c>
      <c r="B82" s="13" t="s">
        <v>124</v>
      </c>
      <c r="C82" s="2">
        <v>-2535037</v>
      </c>
      <c r="D82" s="2">
        <v>-2535037</v>
      </c>
      <c r="E82" s="2">
        <v>-2535037</v>
      </c>
      <c r="F82" s="2">
        <v>-3052502</v>
      </c>
      <c r="G82" s="2">
        <v>-3052502</v>
      </c>
      <c r="H82" s="2">
        <v>-3052502</v>
      </c>
      <c r="I82" s="2">
        <v>-3098873</v>
      </c>
      <c r="J82" s="2">
        <v>-3098873</v>
      </c>
      <c r="K82" s="2">
        <v>-3098873</v>
      </c>
      <c r="L82" s="2">
        <v>-3200347</v>
      </c>
      <c r="M82" s="2">
        <v>-3200347</v>
      </c>
      <c r="N82" s="2">
        <v>-3200347</v>
      </c>
      <c r="O82" s="2">
        <v>-2464378</v>
      </c>
      <c r="P82" s="2">
        <v>-38124651</v>
      </c>
      <c r="Q82" s="2">
        <v>-2932665</v>
      </c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3"/>
    </row>
    <row r="83" spans="1:34" x14ac:dyDescent="0.25">
      <c r="A83" s="13" t="s">
        <v>125</v>
      </c>
      <c r="B83" s="13" t="s">
        <v>126</v>
      </c>
      <c r="C83" s="2">
        <v>-1241115</v>
      </c>
      <c r="D83" s="2">
        <v>0</v>
      </c>
      <c r="E83" s="2">
        <v>0</v>
      </c>
      <c r="F83" s="2">
        <v>-223629</v>
      </c>
      <c r="G83" s="2">
        <v>0</v>
      </c>
      <c r="H83" s="2">
        <v>0</v>
      </c>
      <c r="I83" s="2">
        <v>-538495</v>
      </c>
      <c r="J83" s="2">
        <v>0</v>
      </c>
      <c r="K83" s="2">
        <v>0</v>
      </c>
      <c r="L83" s="2">
        <v>-1860640</v>
      </c>
      <c r="M83" s="2">
        <v>0</v>
      </c>
      <c r="N83" s="2">
        <v>0</v>
      </c>
      <c r="O83" s="2">
        <v>-781627</v>
      </c>
      <c r="P83" s="2">
        <v>-4645506</v>
      </c>
      <c r="Q83" s="2">
        <v>-357347</v>
      </c>
      <c r="R83" s="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x14ac:dyDescent="0.25">
      <c r="A84" s="13" t="s">
        <v>127</v>
      </c>
      <c r="B84" s="13" t="s">
        <v>128</v>
      </c>
      <c r="C84" s="2">
        <v>2535037</v>
      </c>
      <c r="D84" s="2">
        <v>2535037</v>
      </c>
      <c r="E84" s="2">
        <v>2535037</v>
      </c>
      <c r="F84" s="2">
        <v>3052502</v>
      </c>
      <c r="G84" s="2">
        <v>3052502</v>
      </c>
      <c r="H84" s="2">
        <v>3052502</v>
      </c>
      <c r="I84" s="2">
        <v>3098873</v>
      </c>
      <c r="J84" s="2">
        <v>3098873</v>
      </c>
      <c r="K84" s="2">
        <v>3098873</v>
      </c>
      <c r="L84" s="2">
        <v>3200347</v>
      </c>
      <c r="M84" s="2">
        <v>3200347</v>
      </c>
      <c r="N84" s="2">
        <v>3200347</v>
      </c>
      <c r="O84" s="2">
        <v>2464378</v>
      </c>
      <c r="P84" s="2">
        <v>38124651</v>
      </c>
      <c r="Q84" s="2">
        <v>2932665</v>
      </c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3"/>
    </row>
    <row r="85" spans="1:34" x14ac:dyDescent="0.25">
      <c r="C85" s="26" t="s">
        <v>67</v>
      </c>
      <c r="D85" s="26" t="s">
        <v>67</v>
      </c>
      <c r="E85" s="26" t="s">
        <v>67</v>
      </c>
      <c r="F85" s="26" t="s">
        <v>67</v>
      </c>
      <c r="G85" s="26" t="s">
        <v>67</v>
      </c>
      <c r="H85" s="26" t="s">
        <v>67</v>
      </c>
      <c r="I85" s="26" t="s">
        <v>67</v>
      </c>
      <c r="J85" s="26" t="s">
        <v>67</v>
      </c>
      <c r="K85" s="26" t="s">
        <v>67</v>
      </c>
      <c r="L85" s="26" t="s">
        <v>67</v>
      </c>
      <c r="M85" s="26" t="s">
        <v>67</v>
      </c>
      <c r="N85" s="26" t="s">
        <v>67</v>
      </c>
      <c r="O85" s="26" t="s">
        <v>67</v>
      </c>
      <c r="P85" s="26" t="s">
        <v>67</v>
      </c>
      <c r="Q85" s="26" t="s">
        <v>67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3"/>
    </row>
    <row r="86" spans="1:34" x14ac:dyDescent="0.25">
      <c r="A86" s="21" t="s">
        <v>129</v>
      </c>
      <c r="B86" s="22"/>
      <c r="C86" s="23">
        <v>-1241115</v>
      </c>
      <c r="D86" s="23">
        <v>0</v>
      </c>
      <c r="E86" s="23">
        <v>0</v>
      </c>
      <c r="F86" s="23">
        <v>-223629</v>
      </c>
      <c r="G86" s="23">
        <v>0</v>
      </c>
      <c r="H86" s="23">
        <v>0</v>
      </c>
      <c r="I86" s="23">
        <v>-538495</v>
      </c>
      <c r="J86" s="23">
        <v>0</v>
      </c>
      <c r="K86" s="23">
        <v>0</v>
      </c>
      <c r="L86" s="23">
        <v>-1860640</v>
      </c>
      <c r="M86" s="23">
        <v>0</v>
      </c>
      <c r="N86" s="23">
        <v>0</v>
      </c>
      <c r="O86" s="23">
        <v>-781627</v>
      </c>
      <c r="P86" s="23">
        <v>-4645506</v>
      </c>
      <c r="Q86" s="23">
        <v>-357347</v>
      </c>
      <c r="R86" s="15">
        <f>SUM(T86:Y86)-Q86</f>
        <v>0</v>
      </c>
      <c r="S86" s="15" t="s">
        <v>16</v>
      </c>
      <c r="T86" s="15">
        <f t="shared" ref="T86:Y86" si="4">$Q86*T5</f>
        <v>-76114.910999999993</v>
      </c>
      <c r="U86" s="15">
        <f t="shared" si="4"/>
        <v>-124356.75599999999</v>
      </c>
      <c r="V86" s="15">
        <f t="shared" si="4"/>
        <v>-51457.967999999993</v>
      </c>
      <c r="W86" s="15">
        <f t="shared" si="4"/>
        <v>-357.34699999999998</v>
      </c>
      <c r="X86" s="15">
        <f t="shared" si="4"/>
        <v>-357.34699999999998</v>
      </c>
      <c r="Y86" s="15">
        <f t="shared" si="4"/>
        <v>-104702.67099999999</v>
      </c>
      <c r="Z86" s="15"/>
      <c r="AA86" s="15" t="s">
        <v>16</v>
      </c>
      <c r="AB86" s="15">
        <f t="shared" ref="AB86:AG86" si="5">$O86*AB$5</f>
        <v>-166486.55100000001</v>
      </c>
      <c r="AC86" s="15">
        <f t="shared" si="5"/>
        <v>-272006.196</v>
      </c>
      <c r="AD86" s="15">
        <f t="shared" si="5"/>
        <v>-112554.28799999999</v>
      </c>
      <c r="AE86" s="15">
        <f t="shared" si="5"/>
        <v>-781.62700000000007</v>
      </c>
      <c r="AF86" s="15">
        <f t="shared" si="5"/>
        <v>-781.62700000000007</v>
      </c>
      <c r="AG86" s="15">
        <f t="shared" si="5"/>
        <v>-229016.71099999998</v>
      </c>
      <c r="AH86" s="27">
        <f>SUM(AB86:AG86)-O86</f>
        <v>0</v>
      </c>
    </row>
    <row r="87" spans="1:34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3"/>
    </row>
    <row r="88" spans="1:34" x14ac:dyDescent="0.25">
      <c r="A88" s="21" t="s">
        <v>130</v>
      </c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3"/>
    </row>
    <row r="89" spans="1:34" x14ac:dyDescent="0.25">
      <c r="A89" s="13" t="s">
        <v>131</v>
      </c>
      <c r="B89" s="13" t="s">
        <v>132</v>
      </c>
      <c r="C89" s="2">
        <v>30255</v>
      </c>
      <c r="D89" s="2">
        <v>28460</v>
      </c>
      <c r="E89" s="2">
        <v>26665</v>
      </c>
      <c r="F89" s="2">
        <v>24870</v>
      </c>
      <c r="G89" s="2">
        <v>15254</v>
      </c>
      <c r="H89" s="2">
        <v>13459</v>
      </c>
      <c r="I89" s="2">
        <v>11664</v>
      </c>
      <c r="J89" s="2">
        <v>8972</v>
      </c>
      <c r="K89" s="2">
        <v>7177</v>
      </c>
      <c r="L89" s="2">
        <v>5382</v>
      </c>
      <c r="M89" s="2">
        <v>3587</v>
      </c>
      <c r="N89" s="2">
        <v>1792</v>
      </c>
      <c r="O89" s="2">
        <v>0</v>
      </c>
      <c r="P89" s="2">
        <v>177537</v>
      </c>
      <c r="Q89" s="2">
        <v>13657</v>
      </c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3"/>
    </row>
    <row r="90" spans="1:34" x14ac:dyDescent="0.25">
      <c r="A90" s="13" t="s">
        <v>133</v>
      </c>
      <c r="B90" s="13" t="s">
        <v>134</v>
      </c>
      <c r="C90" s="2">
        <v>-671</v>
      </c>
      <c r="D90" s="2">
        <v>-671</v>
      </c>
      <c r="E90" s="2">
        <v>-671</v>
      </c>
      <c r="F90" s="2">
        <v>-671</v>
      </c>
      <c r="G90" s="2">
        <v>-671</v>
      </c>
      <c r="H90" s="2">
        <v>-671</v>
      </c>
      <c r="I90" s="2">
        <v>-671</v>
      </c>
      <c r="J90" s="2">
        <v>-671</v>
      </c>
      <c r="K90" s="2">
        <v>-671</v>
      </c>
      <c r="L90" s="2">
        <v>-671</v>
      </c>
      <c r="M90" s="2">
        <v>-671</v>
      </c>
      <c r="N90" s="2">
        <v>-671</v>
      </c>
      <c r="O90" s="2">
        <v>-671</v>
      </c>
      <c r="P90" s="2">
        <v>-8726</v>
      </c>
      <c r="Q90" s="2">
        <v>-671</v>
      </c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3"/>
    </row>
    <row r="91" spans="1:34" x14ac:dyDescent="0.25">
      <c r="C91" s="26" t="s">
        <v>67</v>
      </c>
      <c r="D91" s="26" t="s">
        <v>67</v>
      </c>
      <c r="E91" s="26" t="s">
        <v>67</v>
      </c>
      <c r="F91" s="26" t="s">
        <v>67</v>
      </c>
      <c r="G91" s="26" t="s">
        <v>67</v>
      </c>
      <c r="H91" s="26" t="s">
        <v>67</v>
      </c>
      <c r="I91" s="26" t="s">
        <v>67</v>
      </c>
      <c r="J91" s="26" t="s">
        <v>67</v>
      </c>
      <c r="K91" s="26" t="s">
        <v>67</v>
      </c>
      <c r="L91" s="26" t="s">
        <v>67</v>
      </c>
      <c r="M91" s="26" t="s">
        <v>67</v>
      </c>
      <c r="N91" s="26" t="s">
        <v>67</v>
      </c>
      <c r="O91" s="26" t="s">
        <v>67</v>
      </c>
      <c r="P91" s="26" t="s">
        <v>67</v>
      </c>
      <c r="Q91" s="26" t="s">
        <v>67</v>
      </c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3"/>
    </row>
    <row r="92" spans="1:34" x14ac:dyDescent="0.25">
      <c r="A92" s="21" t="s">
        <v>135</v>
      </c>
      <c r="B92" s="22"/>
      <c r="C92" s="23">
        <v>29583</v>
      </c>
      <c r="D92" s="23">
        <v>27788</v>
      </c>
      <c r="E92" s="23">
        <v>25993</v>
      </c>
      <c r="F92" s="23">
        <v>24198</v>
      </c>
      <c r="G92" s="23">
        <v>14583</v>
      </c>
      <c r="H92" s="23">
        <v>12788</v>
      </c>
      <c r="I92" s="23">
        <v>10993</v>
      </c>
      <c r="J92" s="23">
        <v>8301</v>
      </c>
      <c r="K92" s="23">
        <v>6506</v>
      </c>
      <c r="L92" s="23">
        <v>4711</v>
      </c>
      <c r="M92" s="23">
        <v>2916</v>
      </c>
      <c r="N92" s="23">
        <v>1121</v>
      </c>
      <c r="O92" s="23">
        <v>-671</v>
      </c>
      <c r="P92" s="23">
        <v>168811</v>
      </c>
      <c r="Q92" s="23">
        <v>12985</v>
      </c>
      <c r="R92" s="15">
        <f>SUM(T92:Y92)-Q92</f>
        <v>0</v>
      </c>
      <c r="S92" s="15" t="s">
        <v>16</v>
      </c>
      <c r="T92" s="15">
        <f t="shared" ref="T92:Y92" si="6">$Q92*T5</f>
        <v>2765.8049999999998</v>
      </c>
      <c r="U92" s="15">
        <f t="shared" si="6"/>
        <v>4518.78</v>
      </c>
      <c r="V92" s="15">
        <f t="shared" si="6"/>
        <v>1869.84</v>
      </c>
      <c r="W92" s="15">
        <f t="shared" si="6"/>
        <v>12.984999999999999</v>
      </c>
      <c r="X92" s="15">
        <f t="shared" si="6"/>
        <v>12.984999999999999</v>
      </c>
      <c r="Y92" s="15">
        <f t="shared" si="6"/>
        <v>3804.6049999999996</v>
      </c>
      <c r="Z92" s="15"/>
      <c r="AA92" s="15" t="s">
        <v>16</v>
      </c>
      <c r="AB92" s="15">
        <f t="shared" ref="AB92:AG92" si="7">$O92*AB$5</f>
        <v>-142.923</v>
      </c>
      <c r="AC92" s="15">
        <f t="shared" si="7"/>
        <v>-233.50799999999998</v>
      </c>
      <c r="AD92" s="15">
        <f t="shared" si="7"/>
        <v>-96.623999999999995</v>
      </c>
      <c r="AE92" s="15">
        <f t="shared" si="7"/>
        <v>-0.67100000000000004</v>
      </c>
      <c r="AF92" s="15">
        <f t="shared" si="7"/>
        <v>-0.67100000000000004</v>
      </c>
      <c r="AG92" s="15">
        <f t="shared" si="7"/>
        <v>-196.60299999999998</v>
      </c>
      <c r="AH92" s="27">
        <f>SUM(AB92:AG92)-O92</f>
        <v>0</v>
      </c>
    </row>
    <row r="93" spans="1:34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3"/>
    </row>
    <row r="94" spans="1:34" x14ac:dyDescent="0.25">
      <c r="A94" s="21" t="s">
        <v>136</v>
      </c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3"/>
    </row>
    <row r="95" spans="1:34" x14ac:dyDescent="0.25">
      <c r="A95" s="13" t="s">
        <v>137</v>
      </c>
      <c r="B95" s="13" t="s">
        <v>138</v>
      </c>
      <c r="C95" s="2">
        <v>3462662</v>
      </c>
      <c r="D95" s="2">
        <v>3599197</v>
      </c>
      <c r="E95" s="2">
        <v>3704348</v>
      </c>
      <c r="F95" s="2">
        <v>3850212</v>
      </c>
      <c r="G95" s="2">
        <v>3997591</v>
      </c>
      <c r="H95" s="2">
        <v>4135917</v>
      </c>
      <c r="I95" s="2">
        <v>4277449</v>
      </c>
      <c r="J95" s="2">
        <v>4480472</v>
      </c>
      <c r="K95" s="2">
        <v>4681552</v>
      </c>
      <c r="L95" s="2">
        <v>4912729</v>
      </c>
      <c r="M95" s="2">
        <v>5133262</v>
      </c>
      <c r="N95" s="2">
        <v>5357774</v>
      </c>
      <c r="O95" s="2">
        <v>5587778</v>
      </c>
      <c r="P95" s="2">
        <v>57180942</v>
      </c>
      <c r="Q95" s="2">
        <v>4398534</v>
      </c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3"/>
    </row>
    <row r="96" spans="1:34" x14ac:dyDescent="0.25">
      <c r="A96" s="13" t="s">
        <v>139</v>
      </c>
      <c r="B96" s="13" t="s">
        <v>140</v>
      </c>
      <c r="C96" s="2">
        <v>8842</v>
      </c>
      <c r="D96" s="2">
        <v>6739</v>
      </c>
      <c r="E96" s="2">
        <v>6739</v>
      </c>
      <c r="F96" s="2">
        <v>6796</v>
      </c>
      <c r="G96" s="2">
        <v>6796</v>
      </c>
      <c r="H96" s="2">
        <v>6851</v>
      </c>
      <c r="I96" s="2">
        <v>6952</v>
      </c>
      <c r="J96" s="2">
        <v>7024</v>
      </c>
      <c r="K96" s="2">
        <v>8264</v>
      </c>
      <c r="L96" s="2">
        <v>8264</v>
      </c>
      <c r="M96" s="2">
        <v>8801</v>
      </c>
      <c r="N96" s="2">
        <v>9324</v>
      </c>
      <c r="O96" s="2">
        <v>10140</v>
      </c>
      <c r="P96" s="2">
        <v>101533</v>
      </c>
      <c r="Q96" s="2">
        <v>7810</v>
      </c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3"/>
    </row>
    <row r="97" spans="1:34" x14ac:dyDescent="0.25">
      <c r="A97" s="13" t="s">
        <v>141</v>
      </c>
      <c r="B97" s="13" t="s">
        <v>142</v>
      </c>
      <c r="C97" s="2">
        <v>-878937</v>
      </c>
      <c r="D97" s="2">
        <v>-878937</v>
      </c>
      <c r="E97" s="2">
        <v>-878937</v>
      </c>
      <c r="F97" s="2">
        <v>-878937</v>
      </c>
      <c r="G97" s="2">
        <v>-878937</v>
      </c>
      <c r="H97" s="2">
        <v>-878937</v>
      </c>
      <c r="I97" s="2">
        <v>-878937</v>
      </c>
      <c r="J97" s="2">
        <v>-878937</v>
      </c>
      <c r="K97" s="2">
        <v>-878937</v>
      </c>
      <c r="L97" s="2">
        <v>-878937</v>
      </c>
      <c r="M97" s="2">
        <v>-878937</v>
      </c>
      <c r="N97" s="2">
        <v>-878937</v>
      </c>
      <c r="O97" s="2">
        <v>-878937</v>
      </c>
      <c r="P97" s="2">
        <v>-11426175</v>
      </c>
      <c r="Q97" s="2">
        <v>-878937</v>
      </c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3"/>
    </row>
    <row r="98" spans="1:34" x14ac:dyDescent="0.25">
      <c r="A98" s="13" t="s">
        <v>143</v>
      </c>
      <c r="B98" s="13" t="s">
        <v>144</v>
      </c>
      <c r="C98" s="2">
        <v>240485272</v>
      </c>
      <c r="D98" s="2">
        <v>242284788</v>
      </c>
      <c r="E98" s="2">
        <v>243915313</v>
      </c>
      <c r="F98" s="2">
        <v>246012996</v>
      </c>
      <c r="G98" s="2">
        <v>247865097</v>
      </c>
      <c r="H98" s="2">
        <v>249638357</v>
      </c>
      <c r="I98" s="2">
        <v>251083095</v>
      </c>
      <c r="J98" s="2">
        <v>252810345</v>
      </c>
      <c r="K98" s="2">
        <v>254506936</v>
      </c>
      <c r="L98" s="2">
        <v>256136194</v>
      </c>
      <c r="M98" s="2">
        <v>257678689</v>
      </c>
      <c r="N98" s="2">
        <v>259442865</v>
      </c>
      <c r="O98" s="2">
        <v>261061369</v>
      </c>
      <c r="P98" s="2">
        <v>3262921315</v>
      </c>
      <c r="Q98" s="2">
        <v>250993947</v>
      </c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3"/>
    </row>
    <row r="99" spans="1:34" x14ac:dyDescent="0.25">
      <c r="A99" s="13" t="s">
        <v>145</v>
      </c>
      <c r="B99" s="13" t="s">
        <v>146</v>
      </c>
      <c r="C99" s="2">
        <v>2513</v>
      </c>
      <c r="D99" s="2">
        <v>2513</v>
      </c>
      <c r="E99" s="2">
        <v>2513</v>
      </c>
      <c r="F99" s="2">
        <v>2513</v>
      </c>
      <c r="G99" s="2">
        <v>2513</v>
      </c>
      <c r="H99" s="2">
        <v>2513</v>
      </c>
      <c r="I99" s="2">
        <v>2513</v>
      </c>
      <c r="J99" s="2">
        <v>2513</v>
      </c>
      <c r="K99" s="2">
        <v>2513</v>
      </c>
      <c r="L99" s="2">
        <v>2513</v>
      </c>
      <c r="M99" s="2">
        <v>2513</v>
      </c>
      <c r="N99" s="2">
        <v>2513</v>
      </c>
      <c r="O99" s="2">
        <v>2513</v>
      </c>
      <c r="P99" s="2">
        <v>32665</v>
      </c>
      <c r="Q99" s="2">
        <v>2513</v>
      </c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3"/>
    </row>
    <row r="100" spans="1:34" x14ac:dyDescent="0.25">
      <c r="A100" s="13" t="s">
        <v>147</v>
      </c>
      <c r="B100" s="13" t="s">
        <v>148</v>
      </c>
      <c r="C100" s="2">
        <v>717</v>
      </c>
      <c r="D100" s="2">
        <v>717</v>
      </c>
      <c r="E100" s="2">
        <v>717</v>
      </c>
      <c r="F100" s="2">
        <v>717</v>
      </c>
      <c r="G100" s="2">
        <v>717</v>
      </c>
      <c r="H100" s="2">
        <v>717</v>
      </c>
      <c r="I100" s="2">
        <v>717</v>
      </c>
      <c r="J100" s="2">
        <v>717</v>
      </c>
      <c r="K100" s="2">
        <v>717</v>
      </c>
      <c r="L100" s="2">
        <v>717</v>
      </c>
      <c r="M100" s="2">
        <v>717</v>
      </c>
      <c r="N100" s="2">
        <v>717</v>
      </c>
      <c r="O100" s="2">
        <v>717</v>
      </c>
      <c r="P100" s="2">
        <v>9321</v>
      </c>
      <c r="Q100" s="2">
        <v>717</v>
      </c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3"/>
    </row>
    <row r="101" spans="1:34" x14ac:dyDescent="0.25">
      <c r="A101" s="13" t="s">
        <v>149</v>
      </c>
      <c r="B101" s="13" t="s">
        <v>150</v>
      </c>
      <c r="C101" s="2">
        <v>12973</v>
      </c>
      <c r="D101" s="2">
        <v>12973</v>
      </c>
      <c r="E101" s="2">
        <v>13078</v>
      </c>
      <c r="F101" s="2">
        <v>16203</v>
      </c>
      <c r="G101" s="2">
        <v>16285</v>
      </c>
      <c r="H101" s="2">
        <v>16326</v>
      </c>
      <c r="I101" s="2">
        <v>16435</v>
      </c>
      <c r="J101" s="2">
        <v>28263</v>
      </c>
      <c r="K101" s="2">
        <v>28263</v>
      </c>
      <c r="L101" s="2">
        <v>28263</v>
      </c>
      <c r="M101" s="2">
        <v>28433</v>
      </c>
      <c r="N101" s="2">
        <v>28433</v>
      </c>
      <c r="O101" s="2">
        <v>28433</v>
      </c>
      <c r="P101" s="2">
        <v>274360</v>
      </c>
      <c r="Q101" s="2">
        <v>21105</v>
      </c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3"/>
    </row>
    <row r="102" spans="1:34" x14ac:dyDescent="0.25">
      <c r="A102" s="13" t="s">
        <v>151</v>
      </c>
      <c r="B102" s="13" t="s">
        <v>152</v>
      </c>
      <c r="C102" s="2">
        <v>-161779294</v>
      </c>
      <c r="D102" s="2">
        <v>-162827343</v>
      </c>
      <c r="E102" s="2">
        <v>-163498872</v>
      </c>
      <c r="F102" s="2">
        <v>-164556596</v>
      </c>
      <c r="G102" s="2">
        <v>-166912074</v>
      </c>
      <c r="H102" s="2">
        <v>-168423688</v>
      </c>
      <c r="I102" s="2">
        <v>-169899356</v>
      </c>
      <c r="J102" s="2">
        <v>-171705867</v>
      </c>
      <c r="K102" s="2">
        <v>-172667670</v>
      </c>
      <c r="L102" s="2">
        <v>-174816539</v>
      </c>
      <c r="M102" s="2">
        <v>-174894027</v>
      </c>
      <c r="N102" s="2">
        <v>-174220784</v>
      </c>
      <c r="O102" s="2">
        <v>-176556469</v>
      </c>
      <c r="P102" s="2">
        <v>-2202758579</v>
      </c>
      <c r="Q102" s="2">
        <v>-169442968</v>
      </c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3"/>
    </row>
    <row r="103" spans="1:34" x14ac:dyDescent="0.25">
      <c r="A103" s="13" t="s">
        <v>153</v>
      </c>
      <c r="B103" s="13" t="s">
        <v>154</v>
      </c>
      <c r="C103" s="2">
        <v>3417</v>
      </c>
      <c r="D103" s="2">
        <v>14140</v>
      </c>
      <c r="E103" s="2">
        <v>21627</v>
      </c>
      <c r="F103" s="2">
        <v>24067</v>
      </c>
      <c r="G103" s="2">
        <v>48762</v>
      </c>
      <c r="H103" s="2">
        <v>74953</v>
      </c>
      <c r="I103" s="2">
        <v>103417</v>
      </c>
      <c r="J103" s="2">
        <v>116581</v>
      </c>
      <c r="K103" s="2">
        <v>133789</v>
      </c>
      <c r="L103" s="2">
        <v>155642</v>
      </c>
      <c r="M103" s="2">
        <v>183308</v>
      </c>
      <c r="N103" s="2">
        <v>204950</v>
      </c>
      <c r="O103" s="2">
        <v>229881</v>
      </c>
      <c r="P103" s="2">
        <v>1314534</v>
      </c>
      <c r="Q103" s="2">
        <v>101118</v>
      </c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3"/>
    </row>
    <row r="104" spans="1:34" x14ac:dyDescent="0.25">
      <c r="A104" s="13" t="s">
        <v>155</v>
      </c>
      <c r="B104" s="13" t="s">
        <v>156</v>
      </c>
      <c r="C104" s="2">
        <v>229659708</v>
      </c>
      <c r="D104" s="2">
        <v>228329029</v>
      </c>
      <c r="E104" s="2">
        <v>231048752</v>
      </c>
      <c r="F104" s="2">
        <v>229681128</v>
      </c>
      <c r="G104" s="2">
        <v>232093573</v>
      </c>
      <c r="H104" s="2">
        <v>234438303</v>
      </c>
      <c r="I104" s="2">
        <v>227344494</v>
      </c>
      <c r="J104" s="2">
        <v>221800111</v>
      </c>
      <c r="K104" s="2">
        <v>220167244</v>
      </c>
      <c r="L104" s="2">
        <v>222548779</v>
      </c>
      <c r="M104" s="2">
        <v>219004452</v>
      </c>
      <c r="N104" s="2">
        <v>216358248</v>
      </c>
      <c r="O104" s="2">
        <v>205593022</v>
      </c>
      <c r="P104" s="2">
        <v>2918066843</v>
      </c>
      <c r="Q104" s="2">
        <v>224466680</v>
      </c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3"/>
    </row>
    <row r="105" spans="1:34" x14ac:dyDescent="0.25">
      <c r="A105" s="13" t="s">
        <v>157</v>
      </c>
      <c r="B105" s="13" t="s">
        <v>158</v>
      </c>
      <c r="C105" s="2">
        <v>1066664</v>
      </c>
      <c r="D105" s="2">
        <v>1084631</v>
      </c>
      <c r="E105" s="2">
        <v>1165883</v>
      </c>
      <c r="F105" s="2">
        <v>1146847</v>
      </c>
      <c r="G105" s="2">
        <v>1158095</v>
      </c>
      <c r="H105" s="2">
        <v>1162532</v>
      </c>
      <c r="I105" s="2">
        <v>1168300</v>
      </c>
      <c r="J105" s="2">
        <v>1178009</v>
      </c>
      <c r="K105" s="2">
        <v>1185648</v>
      </c>
      <c r="L105" s="2">
        <v>1226368</v>
      </c>
      <c r="M105" s="2">
        <v>1240534</v>
      </c>
      <c r="N105" s="2">
        <v>1241943</v>
      </c>
      <c r="O105" s="2">
        <v>1232745</v>
      </c>
      <c r="P105" s="2">
        <v>15258199</v>
      </c>
      <c r="Q105" s="2">
        <v>1173708</v>
      </c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3"/>
    </row>
    <row r="106" spans="1:34" x14ac:dyDescent="0.25">
      <c r="A106" s="13" t="s">
        <v>159</v>
      </c>
      <c r="B106" s="13" t="s">
        <v>160</v>
      </c>
      <c r="C106" s="2">
        <v>20980262</v>
      </c>
      <c r="D106" s="2">
        <v>20459978</v>
      </c>
      <c r="E106" s="2">
        <v>21399091</v>
      </c>
      <c r="F106" s="2">
        <v>18339431</v>
      </c>
      <c r="G106" s="2">
        <v>19215225</v>
      </c>
      <c r="H106" s="2">
        <v>18571770</v>
      </c>
      <c r="I106" s="2">
        <v>17047318</v>
      </c>
      <c r="J106" s="2">
        <v>17973455</v>
      </c>
      <c r="K106" s="2">
        <v>17497656</v>
      </c>
      <c r="L106" s="2">
        <v>17114346</v>
      </c>
      <c r="M106" s="2">
        <v>16662541</v>
      </c>
      <c r="N106" s="2">
        <v>15229670</v>
      </c>
      <c r="O106" s="2">
        <v>14639395</v>
      </c>
      <c r="P106" s="2">
        <v>235130139</v>
      </c>
      <c r="Q106" s="2">
        <v>18086934</v>
      </c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3"/>
    </row>
    <row r="107" spans="1:34" x14ac:dyDescent="0.25">
      <c r="A107" s="13" t="s">
        <v>161</v>
      </c>
      <c r="B107" s="13" t="s">
        <v>162</v>
      </c>
      <c r="C107" s="2">
        <v>0</v>
      </c>
      <c r="D107" s="2">
        <v>140</v>
      </c>
      <c r="E107" s="2">
        <v>13091</v>
      </c>
      <c r="F107" s="2">
        <v>9795</v>
      </c>
      <c r="G107" s="2">
        <v>10495</v>
      </c>
      <c r="H107" s="2">
        <v>10910</v>
      </c>
      <c r="I107" s="2">
        <v>12062</v>
      </c>
      <c r="J107" s="2">
        <v>15117</v>
      </c>
      <c r="K107" s="2">
        <v>16482</v>
      </c>
      <c r="L107" s="2">
        <v>22242</v>
      </c>
      <c r="M107" s="2">
        <v>23917</v>
      </c>
      <c r="N107" s="2">
        <v>20337</v>
      </c>
      <c r="O107" s="2">
        <v>20662</v>
      </c>
      <c r="P107" s="2">
        <v>175250</v>
      </c>
      <c r="Q107" s="2">
        <v>13481</v>
      </c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3"/>
    </row>
    <row r="108" spans="1:34" x14ac:dyDescent="0.25">
      <c r="A108" s="13" t="s">
        <v>163</v>
      </c>
      <c r="B108" s="13" t="s">
        <v>164</v>
      </c>
      <c r="C108" s="2">
        <v>0</v>
      </c>
      <c r="D108" s="2">
        <v>0</v>
      </c>
      <c r="E108" s="2">
        <v>0</v>
      </c>
      <c r="F108" s="2">
        <v>18077</v>
      </c>
      <c r="G108" s="2">
        <v>18473</v>
      </c>
      <c r="H108" s="2">
        <v>18894</v>
      </c>
      <c r="I108" s="2">
        <v>74943</v>
      </c>
      <c r="J108" s="2">
        <v>74943</v>
      </c>
      <c r="K108" s="2">
        <v>74943</v>
      </c>
      <c r="L108" s="2">
        <v>75263</v>
      </c>
      <c r="M108" s="2">
        <v>76336</v>
      </c>
      <c r="N108" s="2">
        <v>76336</v>
      </c>
      <c r="O108" s="2">
        <v>76336</v>
      </c>
      <c r="P108" s="2">
        <v>584545</v>
      </c>
      <c r="Q108" s="2">
        <v>44965</v>
      </c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3"/>
    </row>
    <row r="109" spans="1:34" x14ac:dyDescent="0.25">
      <c r="A109" s="13" t="s">
        <v>165</v>
      </c>
      <c r="B109" s="13" t="s">
        <v>166</v>
      </c>
      <c r="C109" s="2">
        <v>37660</v>
      </c>
      <c r="D109" s="2">
        <v>45745</v>
      </c>
      <c r="E109" s="2">
        <v>37660</v>
      </c>
      <c r="F109" s="2">
        <v>37660</v>
      </c>
      <c r="G109" s="2">
        <v>37660</v>
      </c>
      <c r="H109" s="2">
        <v>37660</v>
      </c>
      <c r="I109" s="2">
        <v>65859</v>
      </c>
      <c r="J109" s="2">
        <v>65859</v>
      </c>
      <c r="K109" s="2">
        <v>65859</v>
      </c>
      <c r="L109" s="2">
        <v>67224</v>
      </c>
      <c r="M109" s="2">
        <v>65859</v>
      </c>
      <c r="N109" s="2">
        <v>70357</v>
      </c>
      <c r="O109" s="2">
        <v>69877</v>
      </c>
      <c r="P109" s="2">
        <v>704937</v>
      </c>
      <c r="Q109" s="2">
        <v>54226</v>
      </c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3"/>
    </row>
    <row r="110" spans="1:34" x14ac:dyDescent="0.25">
      <c r="A110" s="13" t="s">
        <v>167</v>
      </c>
      <c r="B110" s="13" t="s">
        <v>168</v>
      </c>
      <c r="C110" s="2">
        <v>-15589439</v>
      </c>
      <c r="D110" s="2">
        <v>-14517311</v>
      </c>
      <c r="E110" s="2">
        <v>-17718666</v>
      </c>
      <c r="F110" s="2">
        <v>-19424705</v>
      </c>
      <c r="G110" s="2">
        <v>-21081721</v>
      </c>
      <c r="H110" s="2">
        <v>-24896226</v>
      </c>
      <c r="I110" s="2">
        <v>-25850627</v>
      </c>
      <c r="J110" s="2">
        <v>-25632295</v>
      </c>
      <c r="K110" s="2">
        <v>-28570512</v>
      </c>
      <c r="L110" s="2">
        <v>-31829503</v>
      </c>
      <c r="M110" s="2">
        <v>-32022457</v>
      </c>
      <c r="N110" s="2">
        <v>-30927041</v>
      </c>
      <c r="O110" s="2">
        <v>-33020023</v>
      </c>
      <c r="P110" s="2">
        <v>-321080525</v>
      </c>
      <c r="Q110" s="2">
        <v>-24698502</v>
      </c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3"/>
    </row>
    <row r="111" spans="1:34" x14ac:dyDescent="0.25">
      <c r="A111" s="13" t="s">
        <v>169</v>
      </c>
      <c r="B111" s="13" t="s">
        <v>170</v>
      </c>
      <c r="C111" s="2">
        <v>-55537772</v>
      </c>
      <c r="D111" s="2">
        <v>-54624880</v>
      </c>
      <c r="E111" s="2">
        <v>-53574667</v>
      </c>
      <c r="F111" s="2">
        <v>-52249012</v>
      </c>
      <c r="G111" s="2">
        <v>-51458853</v>
      </c>
      <c r="H111" s="2">
        <v>-50783422</v>
      </c>
      <c r="I111" s="2">
        <v>-50107466</v>
      </c>
      <c r="J111" s="2">
        <v>-49089240</v>
      </c>
      <c r="K111" s="2">
        <v>-48187925</v>
      </c>
      <c r="L111" s="2">
        <v>-47253622</v>
      </c>
      <c r="M111" s="2">
        <v>-46382705</v>
      </c>
      <c r="N111" s="2">
        <v>-45189932</v>
      </c>
      <c r="O111" s="2">
        <v>-44354199</v>
      </c>
      <c r="P111" s="2">
        <v>-648793695</v>
      </c>
      <c r="Q111" s="2">
        <v>-49907207</v>
      </c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3"/>
    </row>
    <row r="112" spans="1:34" x14ac:dyDescent="0.25">
      <c r="A112" s="13" t="s">
        <v>171</v>
      </c>
      <c r="B112" s="13" t="s">
        <v>172</v>
      </c>
      <c r="C112" s="2">
        <v>139</v>
      </c>
      <c r="D112" s="2">
        <v>139</v>
      </c>
      <c r="E112" s="2">
        <v>139</v>
      </c>
      <c r="F112" s="2">
        <v>139</v>
      </c>
      <c r="G112" s="2">
        <v>139</v>
      </c>
      <c r="H112" s="2">
        <v>139</v>
      </c>
      <c r="I112" s="2">
        <v>139</v>
      </c>
      <c r="J112" s="2">
        <v>139</v>
      </c>
      <c r="K112" s="2">
        <v>139</v>
      </c>
      <c r="L112" s="2">
        <v>139</v>
      </c>
      <c r="M112" s="2">
        <v>139</v>
      </c>
      <c r="N112" s="2">
        <v>139</v>
      </c>
      <c r="O112" s="2">
        <v>139</v>
      </c>
      <c r="P112" s="2">
        <v>1801</v>
      </c>
      <c r="Q112" s="2">
        <v>139</v>
      </c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3"/>
    </row>
    <row r="113" spans="1:34" x14ac:dyDescent="0.25">
      <c r="A113" s="13" t="s">
        <v>173</v>
      </c>
      <c r="B113" s="13" t="s">
        <v>174</v>
      </c>
      <c r="C113" s="2">
        <v>-744049</v>
      </c>
      <c r="D113" s="2">
        <v>-758841</v>
      </c>
      <c r="E113" s="2">
        <v>-758737</v>
      </c>
      <c r="F113" s="2">
        <v>-773601</v>
      </c>
      <c r="G113" s="2">
        <v>-792185</v>
      </c>
      <c r="H113" s="2">
        <v>-796015</v>
      </c>
      <c r="I113" s="2">
        <v>-806810</v>
      </c>
      <c r="J113" s="2">
        <v>-816232</v>
      </c>
      <c r="K113" s="2">
        <v>-823703</v>
      </c>
      <c r="L113" s="2">
        <v>-790242</v>
      </c>
      <c r="M113" s="2">
        <v>-824770</v>
      </c>
      <c r="N113" s="2">
        <v>-799953</v>
      </c>
      <c r="O113" s="2">
        <v>-808476</v>
      </c>
      <c r="P113" s="2">
        <v>-10293614</v>
      </c>
      <c r="Q113" s="2">
        <v>-791816</v>
      </c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3"/>
    </row>
    <row r="114" spans="1:34" x14ac:dyDescent="0.25">
      <c r="A114" s="13" t="s">
        <v>175</v>
      </c>
      <c r="B114" s="13" t="s">
        <v>176</v>
      </c>
      <c r="C114" s="2">
        <v>-4099775</v>
      </c>
      <c r="D114" s="2">
        <v>-4122915</v>
      </c>
      <c r="E114" s="2">
        <v>-4158847</v>
      </c>
      <c r="F114" s="2">
        <v>-4263419</v>
      </c>
      <c r="G114" s="2">
        <v>-4224456</v>
      </c>
      <c r="H114" s="2">
        <v>-4244282</v>
      </c>
      <c r="I114" s="2">
        <v>-4434640</v>
      </c>
      <c r="J114" s="2">
        <v>-4392416</v>
      </c>
      <c r="K114" s="2">
        <v>-4430234</v>
      </c>
      <c r="L114" s="2">
        <v>-4535197</v>
      </c>
      <c r="M114" s="2">
        <v>-4594060</v>
      </c>
      <c r="N114" s="2">
        <v>-4604286</v>
      </c>
      <c r="O114" s="2">
        <v>-4598036</v>
      </c>
      <c r="P114" s="2">
        <v>-56702563</v>
      </c>
      <c r="Q114" s="2">
        <v>-4361736</v>
      </c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3"/>
    </row>
    <row r="115" spans="1:34" x14ac:dyDescent="0.25">
      <c r="A115" s="13" t="s">
        <v>177</v>
      </c>
      <c r="B115" s="13" t="s">
        <v>178</v>
      </c>
      <c r="C115" s="2">
        <v>-85494283</v>
      </c>
      <c r="D115" s="2">
        <v>-86512124</v>
      </c>
      <c r="E115" s="2">
        <v>-88139007</v>
      </c>
      <c r="F115" s="2">
        <v>-87502903</v>
      </c>
      <c r="G115" s="2">
        <v>-90011249</v>
      </c>
      <c r="H115" s="2">
        <v>-91139756</v>
      </c>
      <c r="I115" s="2">
        <v>-91102540</v>
      </c>
      <c r="J115" s="2">
        <v>-91205732</v>
      </c>
      <c r="K115" s="2">
        <v>-91716179</v>
      </c>
      <c r="L115" s="2">
        <v>-90264072</v>
      </c>
      <c r="M115" s="2">
        <v>-89501393</v>
      </c>
      <c r="N115" s="2">
        <v>-84958935</v>
      </c>
      <c r="O115" s="2">
        <v>-86351305</v>
      </c>
      <c r="P115" s="2">
        <v>-1153899479</v>
      </c>
      <c r="Q115" s="2">
        <v>-88761498</v>
      </c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3"/>
    </row>
    <row r="116" spans="1:34" x14ac:dyDescent="0.25">
      <c r="A116" s="13" t="s">
        <v>179</v>
      </c>
      <c r="B116" s="13" t="s">
        <v>180</v>
      </c>
      <c r="C116" s="2">
        <v>1065770</v>
      </c>
      <c r="D116" s="2">
        <v>1027869</v>
      </c>
      <c r="E116" s="2">
        <v>987637</v>
      </c>
      <c r="F116" s="2">
        <v>944119</v>
      </c>
      <c r="G116" s="2">
        <v>911376</v>
      </c>
      <c r="H116" s="2">
        <v>878073</v>
      </c>
      <c r="I116" s="2">
        <v>857939</v>
      </c>
      <c r="J116" s="2">
        <v>833540</v>
      </c>
      <c r="K116" s="2">
        <v>826549</v>
      </c>
      <c r="L116" s="2">
        <v>820155</v>
      </c>
      <c r="M116" s="2">
        <v>818044</v>
      </c>
      <c r="N116" s="2">
        <v>830931</v>
      </c>
      <c r="O116" s="2">
        <v>800877</v>
      </c>
      <c r="P116" s="2">
        <v>11602879</v>
      </c>
      <c r="Q116" s="2">
        <v>892529</v>
      </c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3"/>
    </row>
    <row r="117" spans="1:34" x14ac:dyDescent="0.25">
      <c r="A117" s="13" t="s">
        <v>181</v>
      </c>
      <c r="B117" s="13" t="s">
        <v>182</v>
      </c>
      <c r="C117" s="2">
        <v>13828</v>
      </c>
      <c r="D117" s="2">
        <v>36507</v>
      </c>
      <c r="E117" s="2">
        <v>41340</v>
      </c>
      <c r="F117" s="2">
        <v>46552</v>
      </c>
      <c r="G117" s="2">
        <v>53594</v>
      </c>
      <c r="H117" s="2">
        <v>59856</v>
      </c>
      <c r="I117" s="2">
        <v>66313</v>
      </c>
      <c r="J117" s="2">
        <v>79037</v>
      </c>
      <c r="K117" s="2">
        <v>86704</v>
      </c>
      <c r="L117" s="2">
        <v>92075</v>
      </c>
      <c r="M117" s="2">
        <v>109288</v>
      </c>
      <c r="N117" s="2">
        <v>140089</v>
      </c>
      <c r="O117" s="2">
        <v>169412</v>
      </c>
      <c r="P117" s="2">
        <v>994595</v>
      </c>
      <c r="Q117" s="2">
        <v>76507</v>
      </c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3"/>
    </row>
    <row r="118" spans="1:34" x14ac:dyDescent="0.25">
      <c r="A118" s="13" t="s">
        <v>183</v>
      </c>
      <c r="B118" s="13" t="s">
        <v>184</v>
      </c>
      <c r="C118" s="2">
        <v>215150</v>
      </c>
      <c r="D118" s="2">
        <v>226454</v>
      </c>
      <c r="E118" s="2">
        <v>805759</v>
      </c>
      <c r="F118" s="2">
        <v>1684974</v>
      </c>
      <c r="G118" s="2">
        <v>3522074</v>
      </c>
      <c r="H118" s="2">
        <v>5163047</v>
      </c>
      <c r="I118" s="2">
        <v>5831020</v>
      </c>
      <c r="J118" s="2">
        <v>8318262</v>
      </c>
      <c r="K118" s="2">
        <v>9086838</v>
      </c>
      <c r="L118" s="2">
        <v>9722512</v>
      </c>
      <c r="M118" s="2">
        <v>10121211</v>
      </c>
      <c r="N118" s="2">
        <v>10563971</v>
      </c>
      <c r="O118" s="2">
        <v>10638609</v>
      </c>
      <c r="P118" s="2">
        <v>75899881</v>
      </c>
      <c r="Q118" s="2">
        <v>5838452</v>
      </c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3"/>
    </row>
    <row r="119" spans="1:34" x14ac:dyDescent="0.25">
      <c r="A119" s="13" t="s">
        <v>185</v>
      </c>
      <c r="B119" s="13" t="s">
        <v>186</v>
      </c>
      <c r="C119" s="2">
        <v>26181695</v>
      </c>
      <c r="D119" s="2">
        <v>27282734</v>
      </c>
      <c r="E119" s="2">
        <v>28254246</v>
      </c>
      <c r="F119" s="2">
        <v>30137171</v>
      </c>
      <c r="G119" s="2">
        <v>30591737</v>
      </c>
      <c r="H119" s="2">
        <v>30958800</v>
      </c>
      <c r="I119" s="2">
        <v>33619938</v>
      </c>
      <c r="J119" s="2">
        <v>34166096</v>
      </c>
      <c r="K119" s="2">
        <v>34616573</v>
      </c>
      <c r="L119" s="2">
        <v>34953869</v>
      </c>
      <c r="M119" s="2">
        <v>36339588</v>
      </c>
      <c r="N119" s="2">
        <v>36835746</v>
      </c>
      <c r="O119" s="2">
        <v>38123553</v>
      </c>
      <c r="P119" s="2">
        <v>422061744</v>
      </c>
      <c r="Q119" s="2">
        <v>32466288</v>
      </c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3"/>
    </row>
    <row r="120" spans="1:34" x14ac:dyDescent="0.25">
      <c r="A120" s="13" t="s">
        <v>187</v>
      </c>
      <c r="B120" s="13" t="s">
        <v>188</v>
      </c>
      <c r="C120" s="2">
        <v>52191148</v>
      </c>
      <c r="D120" s="2">
        <v>50638985</v>
      </c>
      <c r="E120" s="2">
        <v>49947468</v>
      </c>
      <c r="F120" s="2">
        <v>47365696</v>
      </c>
      <c r="G120" s="2">
        <v>45450167</v>
      </c>
      <c r="H120" s="2">
        <v>43478485</v>
      </c>
      <c r="I120" s="2">
        <v>49024001</v>
      </c>
      <c r="J120" s="2">
        <v>45659505</v>
      </c>
      <c r="K120" s="2">
        <v>43816500</v>
      </c>
      <c r="L120" s="2">
        <v>45886592</v>
      </c>
      <c r="M120" s="2">
        <v>43281180</v>
      </c>
      <c r="N120" s="2">
        <v>43836782</v>
      </c>
      <c r="O120" s="2">
        <v>42173466</v>
      </c>
      <c r="P120" s="2">
        <v>602749976</v>
      </c>
      <c r="Q120" s="2">
        <v>46365383</v>
      </c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3"/>
    </row>
    <row r="121" spans="1:34" x14ac:dyDescent="0.25">
      <c r="A121" s="13" t="s">
        <v>189</v>
      </c>
      <c r="B121" s="13" t="s">
        <v>190</v>
      </c>
      <c r="C121" s="2">
        <v>-308271772</v>
      </c>
      <c r="D121" s="2">
        <v>-308271772</v>
      </c>
      <c r="E121" s="2">
        <v>-308271772</v>
      </c>
      <c r="F121" s="2">
        <v>-308271772</v>
      </c>
      <c r="G121" s="2">
        <v>-308271772</v>
      </c>
      <c r="H121" s="2">
        <v>-308271772</v>
      </c>
      <c r="I121" s="2">
        <v>-308271772</v>
      </c>
      <c r="J121" s="2">
        <v>-308271772</v>
      </c>
      <c r="K121" s="2">
        <v>-308270572</v>
      </c>
      <c r="L121" s="2">
        <v>-308270572</v>
      </c>
      <c r="M121" s="2">
        <v>-308270572</v>
      </c>
      <c r="N121" s="2">
        <v>-308270572</v>
      </c>
      <c r="O121" s="2">
        <v>-308270572</v>
      </c>
      <c r="P121" s="2">
        <v>-4007527038</v>
      </c>
      <c r="Q121" s="2">
        <v>-308271311</v>
      </c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3"/>
    </row>
    <row r="122" spans="1:34" x14ac:dyDescent="0.25">
      <c r="A122" s="13" t="s">
        <v>191</v>
      </c>
      <c r="B122" s="13" t="s">
        <v>192</v>
      </c>
      <c r="C122" s="2">
        <v>408725</v>
      </c>
      <c r="D122" s="2">
        <v>1410881</v>
      </c>
      <c r="E122" s="2">
        <v>1723886</v>
      </c>
      <c r="F122" s="2">
        <v>1762020</v>
      </c>
      <c r="G122" s="2">
        <v>2997586</v>
      </c>
      <c r="H122" s="2">
        <v>3123189</v>
      </c>
      <c r="I122" s="2">
        <v>4440216</v>
      </c>
      <c r="J122" s="2">
        <v>5185209</v>
      </c>
      <c r="K122" s="2">
        <v>8300459</v>
      </c>
      <c r="L122" s="2">
        <v>8319619</v>
      </c>
      <c r="M122" s="2">
        <v>8386992</v>
      </c>
      <c r="N122" s="2">
        <v>8507397</v>
      </c>
      <c r="O122" s="2">
        <v>8670858</v>
      </c>
      <c r="P122" s="2">
        <v>63237037</v>
      </c>
      <c r="Q122" s="2">
        <v>4864387</v>
      </c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3"/>
    </row>
    <row r="123" spans="1:34" x14ac:dyDescent="0.25">
      <c r="A123" s="13" t="s">
        <v>193</v>
      </c>
      <c r="B123" s="13" t="s">
        <v>194</v>
      </c>
      <c r="C123" s="2">
        <v>3500</v>
      </c>
      <c r="D123" s="2">
        <v>3500</v>
      </c>
      <c r="E123" s="2">
        <v>3500</v>
      </c>
      <c r="F123" s="2">
        <v>3644</v>
      </c>
      <c r="G123" s="2">
        <v>3644</v>
      </c>
      <c r="H123" s="2">
        <v>3644</v>
      </c>
      <c r="I123" s="2">
        <v>3644</v>
      </c>
      <c r="J123" s="2">
        <v>3644</v>
      </c>
      <c r="K123" s="2">
        <v>3644</v>
      </c>
      <c r="L123" s="2">
        <v>3644</v>
      </c>
      <c r="M123" s="2">
        <v>3704</v>
      </c>
      <c r="N123" s="2">
        <v>3704</v>
      </c>
      <c r="O123" s="2">
        <v>3704</v>
      </c>
      <c r="P123" s="2">
        <v>47120</v>
      </c>
      <c r="Q123" s="2">
        <v>3625</v>
      </c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3"/>
    </row>
    <row r="124" spans="1:34" x14ac:dyDescent="0.25">
      <c r="A124" s="13" t="s">
        <v>195</v>
      </c>
      <c r="B124" s="13" t="s">
        <v>196</v>
      </c>
      <c r="C124" s="2">
        <v>-163</v>
      </c>
      <c r="D124" s="2">
        <v>-163</v>
      </c>
      <c r="E124" s="2">
        <v>-163</v>
      </c>
      <c r="F124" s="2">
        <v>-163</v>
      </c>
      <c r="G124" s="2">
        <v>-163</v>
      </c>
      <c r="H124" s="2">
        <v>-163</v>
      </c>
      <c r="I124" s="2">
        <v>-163</v>
      </c>
      <c r="J124" s="2">
        <v>-163</v>
      </c>
      <c r="K124" s="2">
        <v>-163</v>
      </c>
      <c r="L124" s="2">
        <v>-163</v>
      </c>
      <c r="M124" s="2">
        <v>-163</v>
      </c>
      <c r="N124" s="2">
        <v>-163</v>
      </c>
      <c r="O124" s="2">
        <v>-163</v>
      </c>
      <c r="P124" s="2">
        <v>-2117</v>
      </c>
      <c r="Q124" s="2">
        <v>-163</v>
      </c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3"/>
    </row>
    <row r="125" spans="1:34" x14ac:dyDescent="0.25">
      <c r="A125" s="13" t="s">
        <v>197</v>
      </c>
      <c r="B125" s="13" t="s">
        <v>198</v>
      </c>
      <c r="C125" s="2">
        <v>6500</v>
      </c>
      <c r="D125" s="2">
        <v>6500</v>
      </c>
      <c r="E125" s="2">
        <v>6500</v>
      </c>
      <c r="F125" s="2">
        <v>6500</v>
      </c>
      <c r="G125" s="2">
        <v>6500</v>
      </c>
      <c r="H125" s="2">
        <v>6500</v>
      </c>
      <c r="I125" s="2">
        <v>6500</v>
      </c>
      <c r="J125" s="2">
        <v>6500</v>
      </c>
      <c r="K125" s="2">
        <v>6500</v>
      </c>
      <c r="L125" s="2">
        <v>6500</v>
      </c>
      <c r="M125" s="2">
        <v>6500</v>
      </c>
      <c r="N125" s="2">
        <v>6500</v>
      </c>
      <c r="O125" s="2">
        <v>6500</v>
      </c>
      <c r="P125" s="2">
        <v>84500</v>
      </c>
      <c r="Q125" s="2">
        <v>6500</v>
      </c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3"/>
    </row>
    <row r="126" spans="1:34" x14ac:dyDescent="0.25">
      <c r="A126" s="13" t="s">
        <v>199</v>
      </c>
      <c r="B126" s="13" t="s">
        <v>200</v>
      </c>
      <c r="C126" s="2">
        <v>2861715</v>
      </c>
      <c r="D126" s="2">
        <v>2856755</v>
      </c>
      <c r="E126" s="2">
        <v>2844435</v>
      </c>
      <c r="F126" s="2">
        <v>2822765</v>
      </c>
      <c r="G126" s="2">
        <v>2818993</v>
      </c>
      <c r="H126" s="2">
        <v>2822738</v>
      </c>
      <c r="I126" s="2">
        <v>2822548</v>
      </c>
      <c r="J126" s="2">
        <v>2818183</v>
      </c>
      <c r="K126" s="2">
        <v>2810016</v>
      </c>
      <c r="L126" s="2">
        <v>2790680</v>
      </c>
      <c r="M126" s="2">
        <v>2793798</v>
      </c>
      <c r="N126" s="2">
        <v>2792046</v>
      </c>
      <c r="O126" s="2">
        <v>2775908</v>
      </c>
      <c r="P126" s="2">
        <v>36630579</v>
      </c>
      <c r="Q126" s="2">
        <v>2817737</v>
      </c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3"/>
    </row>
    <row r="127" spans="1:34" x14ac:dyDescent="0.25">
      <c r="A127" s="13" t="s">
        <v>201</v>
      </c>
      <c r="B127" s="13" t="s">
        <v>202</v>
      </c>
      <c r="C127" s="2">
        <v>109634</v>
      </c>
      <c r="D127" s="2">
        <v>109634</v>
      </c>
      <c r="E127" s="2">
        <v>109634</v>
      </c>
      <c r="F127" s="2">
        <v>109634</v>
      </c>
      <c r="G127" s="2">
        <v>109634</v>
      </c>
      <c r="H127" s="2">
        <v>109634</v>
      </c>
      <c r="I127" s="2">
        <v>109634</v>
      </c>
      <c r="J127" s="2">
        <v>109634</v>
      </c>
      <c r="K127" s="2">
        <v>109634</v>
      </c>
      <c r="L127" s="2">
        <v>109634</v>
      </c>
      <c r="M127" s="2">
        <v>109634</v>
      </c>
      <c r="N127" s="2">
        <v>109634</v>
      </c>
      <c r="O127" s="2">
        <v>109634</v>
      </c>
      <c r="P127" s="2">
        <v>1425236</v>
      </c>
      <c r="Q127" s="2">
        <v>109634</v>
      </c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3"/>
    </row>
    <row r="128" spans="1:34" x14ac:dyDescent="0.25">
      <c r="A128" s="13" t="s">
        <v>203</v>
      </c>
      <c r="B128" s="13" t="s">
        <v>204</v>
      </c>
      <c r="C128" s="2">
        <v>143190</v>
      </c>
      <c r="D128" s="2">
        <v>146055</v>
      </c>
      <c r="E128" s="2">
        <v>163322</v>
      </c>
      <c r="F128" s="2">
        <v>162714</v>
      </c>
      <c r="G128" s="2">
        <v>166390</v>
      </c>
      <c r="H128" s="2">
        <v>167498</v>
      </c>
      <c r="I128" s="2">
        <v>168548</v>
      </c>
      <c r="J128" s="2">
        <v>170949</v>
      </c>
      <c r="K128" s="2">
        <v>173076</v>
      </c>
      <c r="L128" s="2">
        <v>180121</v>
      </c>
      <c r="M128" s="2">
        <v>184898</v>
      </c>
      <c r="N128" s="2">
        <v>186298</v>
      </c>
      <c r="O128" s="2">
        <v>183748</v>
      </c>
      <c r="P128" s="2">
        <v>2196808</v>
      </c>
      <c r="Q128" s="2">
        <v>168985</v>
      </c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3"/>
    </row>
    <row r="129" spans="1:34" x14ac:dyDescent="0.25">
      <c r="C129" s="26" t="s">
        <v>67</v>
      </c>
      <c r="D129" s="26" t="s">
        <v>67</v>
      </c>
      <c r="E129" s="26" t="s">
        <v>67</v>
      </c>
      <c r="F129" s="26" t="s">
        <v>67</v>
      </c>
      <c r="G129" s="26" t="s">
        <v>67</v>
      </c>
      <c r="H129" s="26" t="s">
        <v>67</v>
      </c>
      <c r="I129" s="26" t="s">
        <v>67</v>
      </c>
      <c r="J129" s="26" t="s">
        <v>67</v>
      </c>
      <c r="K129" s="26" t="s">
        <v>67</v>
      </c>
      <c r="L129" s="26" t="s">
        <v>67</v>
      </c>
      <c r="M129" s="26" t="s">
        <v>67</v>
      </c>
      <c r="N129" s="26" t="s">
        <v>67</v>
      </c>
      <c r="O129" s="26" t="s">
        <v>67</v>
      </c>
      <c r="P129" s="26" t="s">
        <v>67</v>
      </c>
      <c r="Q129" s="26" t="s">
        <v>67</v>
      </c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3"/>
    </row>
    <row r="130" spans="1:34" x14ac:dyDescent="0.25">
      <c r="A130" s="21" t="s">
        <v>205</v>
      </c>
      <c r="B130" s="22"/>
      <c r="C130" s="23">
        <v>-53473801</v>
      </c>
      <c r="D130" s="23">
        <v>-52927683</v>
      </c>
      <c r="E130" s="23">
        <v>-50782991</v>
      </c>
      <c r="F130" s="23">
        <v>-53728742</v>
      </c>
      <c r="G130" s="23">
        <v>-52528295</v>
      </c>
      <c r="H130" s="23">
        <v>-54546955</v>
      </c>
      <c r="I130" s="23">
        <v>-53198317</v>
      </c>
      <c r="J130" s="23">
        <v>-56088549</v>
      </c>
      <c r="K130" s="23">
        <v>-57339401</v>
      </c>
      <c r="L130" s="23">
        <v>-53454763</v>
      </c>
      <c r="M130" s="23">
        <v>-55104746</v>
      </c>
      <c r="N130" s="23">
        <v>-47993900</v>
      </c>
      <c r="O130" s="23">
        <v>-62628904</v>
      </c>
      <c r="P130" s="23">
        <v>-703797045</v>
      </c>
      <c r="Q130" s="23">
        <v>-54138234</v>
      </c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3"/>
    </row>
    <row r="131" spans="1:34" x14ac:dyDescent="0.25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3"/>
    </row>
    <row r="132" spans="1:34" x14ac:dyDescent="0.25">
      <c r="A132" s="21" t="s">
        <v>206</v>
      </c>
      <c r="B132" s="22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3"/>
    </row>
    <row r="133" spans="1:34" x14ac:dyDescent="0.25">
      <c r="A133" s="13" t="s">
        <v>207</v>
      </c>
      <c r="B133" s="13" t="s">
        <v>208</v>
      </c>
      <c r="C133" s="2">
        <v>6052</v>
      </c>
      <c r="D133" s="2">
        <v>5359</v>
      </c>
      <c r="E133" s="2">
        <v>4693</v>
      </c>
      <c r="F133" s="2">
        <v>4045</v>
      </c>
      <c r="G133" s="2">
        <v>3343</v>
      </c>
      <c r="H133" s="2">
        <v>2641</v>
      </c>
      <c r="I133" s="2">
        <v>1939</v>
      </c>
      <c r="J133" s="2">
        <v>1400</v>
      </c>
      <c r="K133" s="2">
        <v>696</v>
      </c>
      <c r="L133" s="2">
        <v>9008</v>
      </c>
      <c r="M133" s="2">
        <v>8092</v>
      </c>
      <c r="N133" s="2">
        <v>7179</v>
      </c>
      <c r="O133" s="2">
        <v>6158</v>
      </c>
      <c r="P133" s="2">
        <v>60605</v>
      </c>
      <c r="Q133" s="2">
        <v>4662</v>
      </c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3"/>
    </row>
    <row r="134" spans="1:34" x14ac:dyDescent="0.25">
      <c r="A134" s="13" t="s">
        <v>209</v>
      </c>
      <c r="B134" s="13" t="s">
        <v>210</v>
      </c>
      <c r="C134" s="2">
        <v>103292</v>
      </c>
      <c r="D134" s="2">
        <v>104376</v>
      </c>
      <c r="E134" s="2">
        <v>113752</v>
      </c>
      <c r="F134" s="2">
        <v>101620</v>
      </c>
      <c r="G134" s="2">
        <v>89487</v>
      </c>
      <c r="H134" s="2">
        <v>77354</v>
      </c>
      <c r="I134" s="2">
        <v>65002</v>
      </c>
      <c r="J134" s="2">
        <v>52651</v>
      </c>
      <c r="K134" s="2">
        <v>39877</v>
      </c>
      <c r="L134" s="2">
        <v>55022</v>
      </c>
      <c r="M134" s="2">
        <v>42248</v>
      </c>
      <c r="N134" s="2">
        <v>46106</v>
      </c>
      <c r="O134" s="2">
        <v>33125</v>
      </c>
      <c r="P134" s="2">
        <v>923910</v>
      </c>
      <c r="Q134" s="2">
        <v>71070</v>
      </c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3"/>
    </row>
    <row r="135" spans="1:34" x14ac:dyDescent="0.25">
      <c r="C135" s="26" t="s">
        <v>67</v>
      </c>
      <c r="D135" s="26" t="s">
        <v>67</v>
      </c>
      <c r="E135" s="26" t="s">
        <v>67</v>
      </c>
      <c r="F135" s="26" t="s">
        <v>67</v>
      </c>
      <c r="G135" s="26" t="s">
        <v>67</v>
      </c>
      <c r="H135" s="26" t="s">
        <v>67</v>
      </c>
      <c r="I135" s="26" t="s">
        <v>67</v>
      </c>
      <c r="J135" s="26" t="s">
        <v>67</v>
      </c>
      <c r="K135" s="26" t="s">
        <v>67</v>
      </c>
      <c r="L135" s="26" t="s">
        <v>67</v>
      </c>
      <c r="M135" s="26" t="s">
        <v>67</v>
      </c>
      <c r="N135" s="26" t="s">
        <v>67</v>
      </c>
      <c r="O135" s="26" t="s">
        <v>67</v>
      </c>
      <c r="P135" s="26" t="s">
        <v>67</v>
      </c>
      <c r="Q135" s="26" t="s">
        <v>67</v>
      </c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3"/>
    </row>
    <row r="136" spans="1:34" x14ac:dyDescent="0.25">
      <c r="A136" s="21" t="s">
        <v>211</v>
      </c>
      <c r="B136" s="22"/>
      <c r="C136" s="23">
        <v>109344</v>
      </c>
      <c r="D136" s="23">
        <v>109735</v>
      </c>
      <c r="E136" s="23">
        <v>118445</v>
      </c>
      <c r="F136" s="23">
        <v>105665</v>
      </c>
      <c r="G136" s="23">
        <v>92830</v>
      </c>
      <c r="H136" s="23">
        <v>79995</v>
      </c>
      <c r="I136" s="23">
        <v>66941</v>
      </c>
      <c r="J136" s="23">
        <v>54051</v>
      </c>
      <c r="K136" s="23">
        <v>40573</v>
      </c>
      <c r="L136" s="23">
        <v>64030</v>
      </c>
      <c r="M136" s="23">
        <v>50340</v>
      </c>
      <c r="N136" s="23">
        <v>53285</v>
      </c>
      <c r="O136" s="23">
        <v>39283</v>
      </c>
      <c r="P136" s="23">
        <v>984515</v>
      </c>
      <c r="Q136" s="23">
        <v>75732</v>
      </c>
      <c r="R136" s="15">
        <f>SUM(T136:Y136)-Q136</f>
        <v>0</v>
      </c>
      <c r="S136" s="15" t="s">
        <v>16</v>
      </c>
      <c r="T136" s="15">
        <f t="shared" ref="T136:Y136" si="8">$Q136*T5</f>
        <v>16130.915999999999</v>
      </c>
      <c r="U136" s="15">
        <f t="shared" si="8"/>
        <v>26354.735999999997</v>
      </c>
      <c r="V136" s="15">
        <f t="shared" si="8"/>
        <v>10905.407999999999</v>
      </c>
      <c r="W136" s="15">
        <f t="shared" si="8"/>
        <v>75.731999999999999</v>
      </c>
      <c r="X136" s="15">
        <f t="shared" si="8"/>
        <v>75.731999999999999</v>
      </c>
      <c r="Y136" s="15">
        <f t="shared" si="8"/>
        <v>22189.475999999999</v>
      </c>
      <c r="Z136" s="15"/>
      <c r="AA136" s="15" t="s">
        <v>16</v>
      </c>
      <c r="AB136" s="15">
        <f t="shared" ref="AB136:AG136" si="9">$O136*AB$5</f>
        <v>8367.2790000000005</v>
      </c>
      <c r="AC136" s="15">
        <f t="shared" si="9"/>
        <v>13670.483999999999</v>
      </c>
      <c r="AD136" s="15">
        <f t="shared" si="9"/>
        <v>5656.7519999999995</v>
      </c>
      <c r="AE136" s="15">
        <f t="shared" si="9"/>
        <v>39.283000000000001</v>
      </c>
      <c r="AF136" s="15">
        <f t="shared" si="9"/>
        <v>39.283000000000001</v>
      </c>
      <c r="AG136" s="15">
        <f t="shared" si="9"/>
        <v>11509.919</v>
      </c>
      <c r="AH136" s="27">
        <f>SUM(AB136:AG136)-O136</f>
        <v>0</v>
      </c>
    </row>
    <row r="137" spans="1:34" x14ac:dyDescent="0.25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3"/>
    </row>
    <row r="138" spans="1:34" x14ac:dyDescent="0.25">
      <c r="A138" s="21" t="s">
        <v>212</v>
      </c>
      <c r="B138" s="2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3"/>
    </row>
    <row r="139" spans="1:34" x14ac:dyDescent="0.25">
      <c r="A139" s="13" t="s">
        <v>213</v>
      </c>
      <c r="B139" s="13" t="s">
        <v>214</v>
      </c>
      <c r="C139" s="2">
        <v>92184</v>
      </c>
      <c r="D139" s="2">
        <v>92184</v>
      </c>
      <c r="E139" s="2">
        <v>92184</v>
      </c>
      <c r="F139" s="2">
        <v>92184</v>
      </c>
      <c r="G139" s="2">
        <v>92184</v>
      </c>
      <c r="H139" s="2">
        <v>127184</v>
      </c>
      <c r="I139" s="2">
        <v>127184</v>
      </c>
      <c r="J139" s="2">
        <v>127184</v>
      </c>
      <c r="K139" s="2">
        <v>127184</v>
      </c>
      <c r="L139" s="2">
        <v>127184</v>
      </c>
      <c r="M139" s="2">
        <v>127184</v>
      </c>
      <c r="N139" s="2">
        <v>127184</v>
      </c>
      <c r="O139" s="2">
        <v>127184</v>
      </c>
      <c r="P139" s="2">
        <v>1478390</v>
      </c>
      <c r="Q139" s="2">
        <v>113722</v>
      </c>
      <c r="R139" s="15">
        <f>SUM(T139:Y139)-Q139</f>
        <v>0</v>
      </c>
      <c r="S139" s="15" t="s">
        <v>16</v>
      </c>
      <c r="T139" s="15">
        <f t="shared" ref="T139:Y139" si="10">$Q139*T5</f>
        <v>24222.786</v>
      </c>
      <c r="U139" s="15">
        <f t="shared" si="10"/>
        <v>39575.255999999994</v>
      </c>
      <c r="V139" s="15">
        <f t="shared" si="10"/>
        <v>16375.967999999999</v>
      </c>
      <c r="W139" s="15">
        <f t="shared" si="10"/>
        <v>113.72200000000001</v>
      </c>
      <c r="X139" s="15">
        <f t="shared" si="10"/>
        <v>113.72200000000001</v>
      </c>
      <c r="Y139" s="15">
        <f t="shared" si="10"/>
        <v>33320.545999999995</v>
      </c>
      <c r="Z139" s="15"/>
      <c r="AA139" s="15" t="s">
        <v>16</v>
      </c>
      <c r="AB139" s="15">
        <f t="shared" ref="AB139:AG139" si="11">$O139*AB$5</f>
        <v>27090.191999999999</v>
      </c>
      <c r="AC139" s="15">
        <f t="shared" si="11"/>
        <v>44260.031999999999</v>
      </c>
      <c r="AD139" s="15">
        <f t="shared" si="11"/>
        <v>18314.495999999999</v>
      </c>
      <c r="AE139" s="15">
        <f t="shared" si="11"/>
        <v>127.184</v>
      </c>
      <c r="AF139" s="15">
        <f t="shared" si="11"/>
        <v>127.184</v>
      </c>
      <c r="AG139" s="15">
        <f t="shared" si="11"/>
        <v>37264.911999999997</v>
      </c>
      <c r="AH139" s="27">
        <f>SUM(AB139:AG139)-O139</f>
        <v>0</v>
      </c>
    </row>
    <row r="140" spans="1:34" x14ac:dyDescent="0.25">
      <c r="C140" s="26" t="s">
        <v>67</v>
      </c>
      <c r="D140" s="26" t="s">
        <v>67</v>
      </c>
      <c r="E140" s="26" t="s">
        <v>67</v>
      </c>
      <c r="F140" s="26" t="s">
        <v>67</v>
      </c>
      <c r="G140" s="26" t="s">
        <v>67</v>
      </c>
      <c r="H140" s="26" t="s">
        <v>67</v>
      </c>
      <c r="I140" s="26" t="s">
        <v>67</v>
      </c>
      <c r="J140" s="26" t="s">
        <v>67</v>
      </c>
      <c r="K140" s="26" t="s">
        <v>67</v>
      </c>
      <c r="L140" s="26" t="s">
        <v>67</v>
      </c>
      <c r="M140" s="26" t="s">
        <v>67</v>
      </c>
      <c r="N140" s="26" t="s">
        <v>67</v>
      </c>
      <c r="O140" s="26" t="s">
        <v>67</v>
      </c>
      <c r="P140" s="26" t="s">
        <v>67</v>
      </c>
      <c r="Q140" s="26" t="s">
        <v>67</v>
      </c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3"/>
    </row>
    <row r="141" spans="1:34" x14ac:dyDescent="0.25">
      <c r="A141" s="21" t="s">
        <v>215</v>
      </c>
      <c r="B141" s="22"/>
      <c r="C141" s="23">
        <v>92184</v>
      </c>
      <c r="D141" s="23">
        <v>92184</v>
      </c>
      <c r="E141" s="23">
        <v>92184</v>
      </c>
      <c r="F141" s="23">
        <v>92184</v>
      </c>
      <c r="G141" s="23">
        <v>92184</v>
      </c>
      <c r="H141" s="23">
        <v>127184</v>
      </c>
      <c r="I141" s="23">
        <v>127184</v>
      </c>
      <c r="J141" s="23">
        <v>127184</v>
      </c>
      <c r="K141" s="23">
        <v>127184</v>
      </c>
      <c r="L141" s="23">
        <v>127184</v>
      </c>
      <c r="M141" s="23">
        <v>127184</v>
      </c>
      <c r="N141" s="23">
        <v>127184</v>
      </c>
      <c r="O141" s="23">
        <v>127184</v>
      </c>
      <c r="P141" s="23">
        <v>1478390</v>
      </c>
      <c r="Q141" s="23">
        <v>113722</v>
      </c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3"/>
    </row>
    <row r="142" spans="1:34" x14ac:dyDescent="0.25">
      <c r="A142" s="40"/>
      <c r="B142" s="40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3"/>
    </row>
    <row r="143" spans="1:34" ht="15.75" x14ac:dyDescent="0.3">
      <c r="A143" s="42" t="s">
        <v>216</v>
      </c>
      <c r="B143" s="43"/>
      <c r="C143" s="44">
        <v>-54129207</v>
      </c>
      <c r="D143" s="44">
        <v>-52589209</v>
      </c>
      <c r="E143" s="44">
        <v>-48578523</v>
      </c>
      <c r="F143" s="44">
        <v>-52450621</v>
      </c>
      <c r="G143" s="44">
        <v>-53583689</v>
      </c>
      <c r="H143" s="44">
        <v>-52392886</v>
      </c>
      <c r="I143" s="44">
        <v>-52480004</v>
      </c>
      <c r="J143" s="44">
        <v>-55604793</v>
      </c>
      <c r="K143" s="44">
        <v>-56575297</v>
      </c>
      <c r="L143" s="44">
        <v>-52146226</v>
      </c>
      <c r="M143" s="44">
        <v>-53680797</v>
      </c>
      <c r="N143" s="44">
        <v>-57075343</v>
      </c>
      <c r="O143" s="44">
        <v>-61839333</v>
      </c>
      <c r="P143" s="44">
        <v>-703125929</v>
      </c>
      <c r="Q143" s="44">
        <v>-54086610</v>
      </c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3"/>
    </row>
    <row r="144" spans="1:34" x14ac:dyDescent="0.25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3"/>
    </row>
    <row r="145" spans="1:34" ht="15.75" x14ac:dyDescent="0.3">
      <c r="A145" s="18" t="s">
        <v>217</v>
      </c>
      <c r="B145" s="19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3"/>
    </row>
    <row r="146" spans="1:34" x14ac:dyDescent="0.25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3"/>
    </row>
    <row r="147" spans="1:34" x14ac:dyDescent="0.25">
      <c r="A147" s="45" t="s">
        <v>218</v>
      </c>
      <c r="B147" s="46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3"/>
    </row>
    <row r="148" spans="1:34" x14ac:dyDescent="0.25">
      <c r="A148" s="48" t="s">
        <v>219</v>
      </c>
      <c r="B148" s="48" t="s">
        <v>220</v>
      </c>
      <c r="C148" s="49">
        <v>795056</v>
      </c>
      <c r="D148" s="49">
        <v>788914</v>
      </c>
      <c r="E148" s="49">
        <v>782772</v>
      </c>
      <c r="F148" s="49">
        <v>776631</v>
      </c>
      <c r="G148" s="49">
        <v>770489</v>
      </c>
      <c r="H148" s="49">
        <v>764347</v>
      </c>
      <c r="I148" s="49">
        <v>758205</v>
      </c>
      <c r="J148" s="49">
        <v>752064</v>
      </c>
      <c r="K148" s="49">
        <v>745922</v>
      </c>
      <c r="L148" s="49">
        <v>739780</v>
      </c>
      <c r="M148" s="49">
        <v>733638</v>
      </c>
      <c r="N148" s="49">
        <v>727497</v>
      </c>
      <c r="O148" s="49">
        <v>721355</v>
      </c>
      <c r="P148" s="49">
        <v>9856669</v>
      </c>
      <c r="Q148" s="49">
        <v>758205</v>
      </c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3"/>
    </row>
    <row r="149" spans="1:34" x14ac:dyDescent="0.25">
      <c r="C149" s="26" t="s">
        <v>67</v>
      </c>
      <c r="D149" s="26" t="s">
        <v>67</v>
      </c>
      <c r="E149" s="26" t="s">
        <v>67</v>
      </c>
      <c r="F149" s="26" t="s">
        <v>67</v>
      </c>
      <c r="G149" s="26" t="s">
        <v>67</v>
      </c>
      <c r="H149" s="26" t="s">
        <v>67</v>
      </c>
      <c r="I149" s="26" t="s">
        <v>67</v>
      </c>
      <c r="J149" s="26" t="s">
        <v>67</v>
      </c>
      <c r="K149" s="26" t="s">
        <v>67</v>
      </c>
      <c r="L149" s="26" t="s">
        <v>67</v>
      </c>
      <c r="M149" s="26" t="s">
        <v>67</v>
      </c>
      <c r="N149" s="26" t="s">
        <v>67</v>
      </c>
      <c r="O149" s="26" t="s">
        <v>67</v>
      </c>
      <c r="P149" s="26" t="s">
        <v>67</v>
      </c>
      <c r="Q149" s="26" t="s">
        <v>67</v>
      </c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3"/>
    </row>
    <row r="150" spans="1:34" x14ac:dyDescent="0.25">
      <c r="A150" s="21" t="s">
        <v>221</v>
      </c>
      <c r="B150" s="22"/>
      <c r="C150" s="23">
        <v>795056</v>
      </c>
      <c r="D150" s="23">
        <v>788914</v>
      </c>
      <c r="E150" s="23">
        <v>782772</v>
      </c>
      <c r="F150" s="23">
        <v>776631</v>
      </c>
      <c r="G150" s="23">
        <v>770489</v>
      </c>
      <c r="H150" s="23">
        <v>764347</v>
      </c>
      <c r="I150" s="23">
        <v>758205</v>
      </c>
      <c r="J150" s="23">
        <v>752064</v>
      </c>
      <c r="K150" s="23">
        <v>745922</v>
      </c>
      <c r="L150" s="23">
        <v>739780</v>
      </c>
      <c r="M150" s="23">
        <v>733638</v>
      </c>
      <c r="N150" s="23">
        <v>727497</v>
      </c>
      <c r="O150" s="23">
        <v>721355</v>
      </c>
      <c r="P150" s="23">
        <v>9856669</v>
      </c>
      <c r="Q150" s="23">
        <v>758205</v>
      </c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3"/>
    </row>
    <row r="151" spans="1:34" x14ac:dyDescent="0.25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3"/>
    </row>
    <row r="152" spans="1:34" x14ac:dyDescent="0.25">
      <c r="A152" s="21" t="s">
        <v>222</v>
      </c>
      <c r="B152" s="22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3"/>
    </row>
    <row r="153" spans="1:34" x14ac:dyDescent="0.25">
      <c r="A153" s="13" t="s">
        <v>223</v>
      </c>
      <c r="B153" s="13" t="s">
        <v>224</v>
      </c>
      <c r="C153" s="2">
        <v>705514</v>
      </c>
      <c r="D153" s="2">
        <v>705514</v>
      </c>
      <c r="E153" s="2">
        <v>705514</v>
      </c>
      <c r="F153" s="2">
        <v>705514</v>
      </c>
      <c r="G153" s="2">
        <v>705514</v>
      </c>
      <c r="H153" s="2">
        <v>705514</v>
      </c>
      <c r="I153" s="2">
        <v>705514</v>
      </c>
      <c r="J153" s="2">
        <v>705514</v>
      </c>
      <c r="K153" s="2">
        <v>705514</v>
      </c>
      <c r="L153" s="2">
        <v>705514</v>
      </c>
      <c r="M153" s="2">
        <v>705514</v>
      </c>
      <c r="N153" s="2">
        <v>705514</v>
      </c>
      <c r="O153" s="2">
        <v>705514</v>
      </c>
      <c r="P153" s="2">
        <v>9171684</v>
      </c>
      <c r="Q153" s="2">
        <v>705514</v>
      </c>
      <c r="R153" s="15"/>
      <c r="S153" s="15" t="s">
        <v>225</v>
      </c>
      <c r="T153" s="15">
        <f>$Q153*T$3</f>
        <v>114399.09509999999</v>
      </c>
      <c r="U153" s="15">
        <f t="shared" ref="U153:Y153" si="12">$Q153*U$3</f>
        <v>276356.88893999998</v>
      </c>
      <c r="V153" s="15">
        <f t="shared" si="12"/>
        <v>129729.91432</v>
      </c>
      <c r="W153" s="15">
        <f t="shared" si="12"/>
        <v>2504.5747000000001</v>
      </c>
      <c r="X153" s="15">
        <f t="shared" si="12"/>
        <v>783.12054000000012</v>
      </c>
      <c r="Y153" s="15">
        <f t="shared" si="12"/>
        <v>181754.51668</v>
      </c>
      <c r="Z153" s="15"/>
      <c r="AA153" s="15"/>
      <c r="AB153" s="15">
        <f>$O153*AB$3</f>
        <v>114399.09509999999</v>
      </c>
      <c r="AC153" s="15">
        <f t="shared" ref="AC153:AG153" si="13">$O153*AC$3</f>
        <v>276356.88893999998</v>
      </c>
      <c r="AD153" s="15">
        <f t="shared" si="13"/>
        <v>129729.91432</v>
      </c>
      <c r="AE153" s="15">
        <f t="shared" si="13"/>
        <v>2504.5747000000001</v>
      </c>
      <c r="AF153" s="15">
        <f t="shared" si="13"/>
        <v>783.12054000000012</v>
      </c>
      <c r="AG153" s="15">
        <f t="shared" si="13"/>
        <v>181754.51668</v>
      </c>
      <c r="AH153" s="3"/>
    </row>
    <row r="154" spans="1:34" x14ac:dyDescent="0.25">
      <c r="A154" s="13" t="s">
        <v>226</v>
      </c>
      <c r="B154" s="13" t="s">
        <v>227</v>
      </c>
      <c r="C154" s="2">
        <v>-95046</v>
      </c>
      <c r="D154" s="2">
        <v>-98388</v>
      </c>
      <c r="E154" s="2">
        <v>-101741</v>
      </c>
      <c r="F154" s="2">
        <v>-105104</v>
      </c>
      <c r="G154" s="2">
        <v>-108477</v>
      </c>
      <c r="H154" s="2">
        <v>-111861</v>
      </c>
      <c r="I154" s="2">
        <v>-115256</v>
      </c>
      <c r="J154" s="2">
        <v>-118661</v>
      </c>
      <c r="K154" s="2">
        <v>-122076</v>
      </c>
      <c r="L154" s="2">
        <v>-125502</v>
      </c>
      <c r="M154" s="2">
        <v>-128939</v>
      </c>
      <c r="N154" s="2">
        <v>-132386</v>
      </c>
      <c r="O154" s="2">
        <v>-135844</v>
      </c>
      <c r="P154" s="2">
        <v>-1499282</v>
      </c>
      <c r="Q154" s="2">
        <v>-115329</v>
      </c>
      <c r="R154" s="15"/>
      <c r="S154" s="15" t="s">
        <v>225</v>
      </c>
      <c r="T154" s="15">
        <f t="shared" ref="T154:Y154" si="14">$Q154*T$3</f>
        <v>-18700.59735</v>
      </c>
      <c r="U154" s="15">
        <f t="shared" si="14"/>
        <v>-45175.52259</v>
      </c>
      <c r="V154" s="15">
        <f t="shared" si="14"/>
        <v>-21206.696519999998</v>
      </c>
      <c r="W154" s="15">
        <f t="shared" si="14"/>
        <v>-409.41795000000002</v>
      </c>
      <c r="X154" s="15">
        <f t="shared" si="14"/>
        <v>-128.01519000000002</v>
      </c>
      <c r="Y154" s="15">
        <f t="shared" si="14"/>
        <v>-29711.056980000001</v>
      </c>
      <c r="Z154" s="15"/>
      <c r="AA154" s="15"/>
      <c r="AB154" s="15">
        <f t="shared" ref="AB154:AG154" si="15">$O154*AB$3</f>
        <v>-22027.104599999999</v>
      </c>
      <c r="AC154" s="15">
        <f t="shared" si="15"/>
        <v>-53211.453240000003</v>
      </c>
      <c r="AD154" s="15">
        <f t="shared" si="15"/>
        <v>-24978.994719999999</v>
      </c>
      <c r="AE154" s="15">
        <f t="shared" si="15"/>
        <v>-482.24620000000004</v>
      </c>
      <c r="AF154" s="15">
        <f t="shared" si="15"/>
        <v>-150.78684000000001</v>
      </c>
      <c r="AG154" s="15">
        <f t="shared" si="15"/>
        <v>-34996.131280000001</v>
      </c>
      <c r="AH154" s="3"/>
    </row>
    <row r="155" spans="1:34" x14ac:dyDescent="0.25">
      <c r="C155" s="26" t="s">
        <v>67</v>
      </c>
      <c r="D155" s="26" t="s">
        <v>67</v>
      </c>
      <c r="E155" s="26" t="s">
        <v>67</v>
      </c>
      <c r="F155" s="26" t="s">
        <v>67</v>
      </c>
      <c r="G155" s="26" t="s">
        <v>67</v>
      </c>
      <c r="H155" s="26" t="s">
        <v>67</v>
      </c>
      <c r="I155" s="26" t="s">
        <v>67</v>
      </c>
      <c r="J155" s="26" t="s">
        <v>67</v>
      </c>
      <c r="K155" s="26" t="s">
        <v>67</v>
      </c>
      <c r="L155" s="26" t="s">
        <v>67</v>
      </c>
      <c r="M155" s="26" t="s">
        <v>67</v>
      </c>
      <c r="N155" s="26" t="s">
        <v>67</v>
      </c>
      <c r="O155" s="26" t="s">
        <v>67</v>
      </c>
      <c r="P155" s="26" t="s">
        <v>67</v>
      </c>
      <c r="Q155" s="26" t="s">
        <v>67</v>
      </c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3"/>
    </row>
    <row r="156" spans="1:34" x14ac:dyDescent="0.25">
      <c r="A156" s="21" t="s">
        <v>228</v>
      </c>
      <c r="B156" s="22"/>
      <c r="C156" s="23">
        <v>610468</v>
      </c>
      <c r="D156" s="23">
        <v>607126</v>
      </c>
      <c r="E156" s="23">
        <v>603773</v>
      </c>
      <c r="F156" s="23">
        <v>600410</v>
      </c>
      <c r="G156" s="23">
        <v>597037</v>
      </c>
      <c r="H156" s="23">
        <v>593653</v>
      </c>
      <c r="I156" s="23">
        <v>590258</v>
      </c>
      <c r="J156" s="23">
        <v>586854</v>
      </c>
      <c r="K156" s="23">
        <v>583438</v>
      </c>
      <c r="L156" s="23">
        <v>580012</v>
      </c>
      <c r="M156" s="23">
        <v>576575</v>
      </c>
      <c r="N156" s="23">
        <v>573128</v>
      </c>
      <c r="O156" s="23">
        <v>569670</v>
      </c>
      <c r="P156" s="23">
        <v>7672403</v>
      </c>
      <c r="Q156" s="23">
        <v>590185</v>
      </c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3"/>
    </row>
    <row r="157" spans="1:34" x14ac:dyDescent="0.25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3"/>
    </row>
    <row r="158" spans="1:34" ht="15.75" x14ac:dyDescent="0.3">
      <c r="A158" s="18" t="s">
        <v>229</v>
      </c>
      <c r="B158" s="19"/>
      <c r="C158" s="20">
        <v>1405524</v>
      </c>
      <c r="D158" s="20">
        <v>1396040</v>
      </c>
      <c r="E158" s="20">
        <v>1386545</v>
      </c>
      <c r="F158" s="20">
        <v>1377041</v>
      </c>
      <c r="G158" s="20">
        <v>1367526</v>
      </c>
      <c r="H158" s="20">
        <v>1358000</v>
      </c>
      <c r="I158" s="20">
        <v>1348464</v>
      </c>
      <c r="J158" s="20">
        <v>1338917</v>
      </c>
      <c r="K158" s="20">
        <v>1329360</v>
      </c>
      <c r="L158" s="20">
        <v>1319792</v>
      </c>
      <c r="M158" s="20">
        <v>1310214</v>
      </c>
      <c r="N158" s="20">
        <v>1300625</v>
      </c>
      <c r="O158" s="20">
        <v>1291025</v>
      </c>
      <c r="P158" s="20">
        <v>17529071</v>
      </c>
      <c r="Q158" s="20">
        <v>1348390</v>
      </c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3"/>
    </row>
    <row r="159" spans="1:34" x14ac:dyDescent="0.25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3"/>
    </row>
    <row r="160" spans="1:34" ht="19.5" x14ac:dyDescent="0.4">
      <c r="A160" s="5" t="s">
        <v>230</v>
      </c>
      <c r="B160" s="16"/>
      <c r="C160" s="17">
        <v>68216866</v>
      </c>
      <c r="D160" s="17">
        <v>69709087</v>
      </c>
      <c r="E160" s="17">
        <v>73670280</v>
      </c>
      <c r="F160" s="17">
        <v>69745464</v>
      </c>
      <c r="G160" s="17">
        <v>68559470</v>
      </c>
      <c r="H160" s="17">
        <v>69694041</v>
      </c>
      <c r="I160" s="17">
        <v>69555733</v>
      </c>
      <c r="J160" s="17">
        <v>66389332</v>
      </c>
      <c r="K160" s="17">
        <v>65370695</v>
      </c>
      <c r="L160" s="17">
        <v>69743385</v>
      </c>
      <c r="M160" s="17">
        <v>68159672</v>
      </c>
      <c r="N160" s="17">
        <v>64712047</v>
      </c>
      <c r="O160" s="17">
        <v>60047940</v>
      </c>
      <c r="P160" s="17">
        <v>883574013</v>
      </c>
      <c r="Q160" s="17">
        <v>67967232</v>
      </c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3"/>
    </row>
    <row r="161" spans="1:34" x14ac:dyDescent="0.25">
      <c r="C161" s="26" t="s">
        <v>231</v>
      </c>
      <c r="D161" s="26" t="s">
        <v>231</v>
      </c>
      <c r="E161" s="26" t="s">
        <v>231</v>
      </c>
      <c r="F161" s="26" t="s">
        <v>231</v>
      </c>
      <c r="G161" s="26" t="s">
        <v>231</v>
      </c>
      <c r="H161" s="26" t="s">
        <v>231</v>
      </c>
      <c r="I161" s="26" t="s">
        <v>231</v>
      </c>
      <c r="J161" s="26" t="s">
        <v>231</v>
      </c>
      <c r="K161" s="26" t="s">
        <v>231</v>
      </c>
      <c r="L161" s="26" t="s">
        <v>231</v>
      </c>
      <c r="M161" s="26" t="s">
        <v>231</v>
      </c>
      <c r="N161" s="26" t="s">
        <v>231</v>
      </c>
      <c r="O161" s="26" t="s">
        <v>231</v>
      </c>
      <c r="P161" s="26" t="s">
        <v>231</v>
      </c>
      <c r="Q161" s="26" t="s">
        <v>231</v>
      </c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3"/>
    </row>
    <row r="162" spans="1:34" x14ac:dyDescent="0.25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3"/>
    </row>
    <row r="163" spans="1:34" ht="19.5" x14ac:dyDescent="0.4">
      <c r="A163" s="50" t="s">
        <v>232</v>
      </c>
      <c r="B163" s="51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3"/>
    </row>
    <row r="164" spans="1:34" x14ac:dyDescent="0.25">
      <c r="A164" s="35"/>
      <c r="B164" s="35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3"/>
    </row>
    <row r="165" spans="1:34" ht="15.75" x14ac:dyDescent="0.3">
      <c r="A165" s="53" t="s">
        <v>233</v>
      </c>
      <c r="B165" s="54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3"/>
    </row>
    <row r="166" spans="1:34" x14ac:dyDescent="0.25">
      <c r="A166" s="35"/>
      <c r="B166" s="35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3"/>
    </row>
    <row r="167" spans="1:34" x14ac:dyDescent="0.25">
      <c r="A167" s="37" t="s">
        <v>234</v>
      </c>
      <c r="B167" s="38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3"/>
    </row>
    <row r="168" spans="1:34" x14ac:dyDescent="0.25">
      <c r="A168" s="31" t="s">
        <v>235</v>
      </c>
      <c r="B168" s="31" t="s">
        <v>236</v>
      </c>
      <c r="C168" s="24">
        <v>385055</v>
      </c>
      <c r="D168" s="24">
        <v>471386</v>
      </c>
      <c r="E168" s="24">
        <v>500065</v>
      </c>
      <c r="F168" s="24">
        <v>442921</v>
      </c>
      <c r="G168" s="24">
        <v>339026</v>
      </c>
      <c r="H168" s="24">
        <v>516903</v>
      </c>
      <c r="I168" s="24">
        <v>387857</v>
      </c>
      <c r="J168" s="24">
        <v>436736</v>
      </c>
      <c r="K168" s="24">
        <v>254440</v>
      </c>
      <c r="L168" s="24">
        <v>452782</v>
      </c>
      <c r="M168" s="24">
        <v>469214</v>
      </c>
      <c r="N168" s="24">
        <v>473553</v>
      </c>
      <c r="O168" s="24">
        <v>378462</v>
      </c>
      <c r="P168" s="24">
        <v>5508399</v>
      </c>
      <c r="Q168" s="24">
        <v>423723</v>
      </c>
      <c r="R168" s="15">
        <f t="shared" ref="R168:R174" si="16">SUM(T168:Y168)+Q168</f>
        <v>0</v>
      </c>
      <c r="S168" s="15" t="s">
        <v>16</v>
      </c>
      <c r="T168" s="15">
        <f t="shared" ref="T168:Y168" si="17">-$Q168*T5</f>
        <v>-90252.998999999996</v>
      </c>
      <c r="U168" s="15">
        <f t="shared" si="17"/>
        <v>-147455.60399999999</v>
      </c>
      <c r="V168" s="15">
        <f t="shared" si="17"/>
        <v>-61016.111999999994</v>
      </c>
      <c r="W168" s="15">
        <f t="shared" si="17"/>
        <v>-423.72300000000001</v>
      </c>
      <c r="X168" s="15">
        <f t="shared" si="17"/>
        <v>-423.72300000000001</v>
      </c>
      <c r="Y168" s="15">
        <f t="shared" si="17"/>
        <v>-124150.83899999999</v>
      </c>
      <c r="Z168" s="15"/>
      <c r="AA168" s="15" t="s">
        <v>16</v>
      </c>
      <c r="AB168" s="15">
        <f t="shared" ref="AB168:AG170" si="18">-$O168*AB$5</f>
        <v>-80612.406000000003</v>
      </c>
      <c r="AC168" s="15">
        <f t="shared" si="18"/>
        <v>-131704.77599999998</v>
      </c>
      <c r="AD168" s="15">
        <f t="shared" si="18"/>
        <v>-54498.527999999998</v>
      </c>
      <c r="AE168" s="15">
        <f t="shared" si="18"/>
        <v>-378.46199999999999</v>
      </c>
      <c r="AF168" s="15">
        <f t="shared" si="18"/>
        <v>-378.46199999999999</v>
      </c>
      <c r="AG168" s="15">
        <f t="shared" si="18"/>
        <v>-110889.36599999999</v>
      </c>
      <c r="AH168" s="27">
        <f t="shared" ref="AH168:AH174" si="19">SUM(AB168:AG168)+O168</f>
        <v>0</v>
      </c>
    </row>
    <row r="169" spans="1:34" x14ac:dyDescent="0.25">
      <c r="A169" s="31" t="s">
        <v>237</v>
      </c>
      <c r="B169" s="31" t="s">
        <v>238</v>
      </c>
      <c r="C169" s="24">
        <v>1792345</v>
      </c>
      <c r="D169" s="24">
        <v>3504029</v>
      </c>
      <c r="E169" s="24">
        <v>7498727</v>
      </c>
      <c r="F169" s="24">
        <v>4592273</v>
      </c>
      <c r="G169" s="24">
        <v>3610018</v>
      </c>
      <c r="H169" s="24">
        <v>4425893</v>
      </c>
      <c r="I169" s="24">
        <v>5610613</v>
      </c>
      <c r="J169" s="24">
        <v>3574884</v>
      </c>
      <c r="K169" s="24">
        <v>2792093</v>
      </c>
      <c r="L169" s="24">
        <v>7230130</v>
      </c>
      <c r="M169" s="24">
        <v>5670562</v>
      </c>
      <c r="N169" s="24">
        <v>1971164</v>
      </c>
      <c r="O169" s="24">
        <v>1212381</v>
      </c>
      <c r="P169" s="24">
        <v>53485114</v>
      </c>
      <c r="Q169" s="24">
        <v>4114240</v>
      </c>
      <c r="R169" s="15">
        <f t="shared" si="16"/>
        <v>0</v>
      </c>
      <c r="S169" s="15" t="s">
        <v>16</v>
      </c>
      <c r="T169" s="15">
        <f t="shared" ref="T169:Y169" si="20">-$Q169*T5</f>
        <v>-876333.12</v>
      </c>
      <c r="U169" s="15">
        <f t="shared" si="20"/>
        <v>-1431755.5199999998</v>
      </c>
      <c r="V169" s="15">
        <f t="shared" si="20"/>
        <v>-592450.55999999994</v>
      </c>
      <c r="W169" s="15">
        <f t="shared" si="20"/>
        <v>-4114.24</v>
      </c>
      <c r="X169" s="15">
        <f t="shared" si="20"/>
        <v>-4114.24</v>
      </c>
      <c r="Y169" s="15">
        <f t="shared" si="20"/>
        <v>-1205472.3199999998</v>
      </c>
      <c r="Z169" s="15"/>
      <c r="AA169" s="15" t="s">
        <v>16</v>
      </c>
      <c r="AB169" s="15">
        <f t="shared" si="18"/>
        <v>-258237.15299999999</v>
      </c>
      <c r="AC169" s="15">
        <f t="shared" si="18"/>
        <v>-421908.58799999999</v>
      </c>
      <c r="AD169" s="15">
        <f t="shared" si="18"/>
        <v>-174582.86399999997</v>
      </c>
      <c r="AE169" s="15">
        <f t="shared" si="18"/>
        <v>-1212.3810000000001</v>
      </c>
      <c r="AF169" s="15">
        <f t="shared" si="18"/>
        <v>-1212.3810000000001</v>
      </c>
      <c r="AG169" s="15">
        <f t="shared" si="18"/>
        <v>-355227.63299999997</v>
      </c>
      <c r="AH169" s="27">
        <f t="shared" si="19"/>
        <v>0</v>
      </c>
    </row>
    <row r="170" spans="1:34" x14ac:dyDescent="0.25">
      <c r="A170" s="31" t="s">
        <v>239</v>
      </c>
      <c r="B170" s="31" t="s">
        <v>240</v>
      </c>
      <c r="C170" s="24">
        <v>51706</v>
      </c>
      <c r="D170" s="24">
        <v>48582</v>
      </c>
      <c r="E170" s="24">
        <v>29984</v>
      </c>
      <c r="F170" s="24">
        <v>19022</v>
      </c>
      <c r="G170" s="24">
        <v>57613</v>
      </c>
      <c r="H170" s="24">
        <v>53084</v>
      </c>
      <c r="I170" s="24">
        <v>106295</v>
      </c>
      <c r="J170" s="24">
        <v>29261</v>
      </c>
      <c r="K170" s="24">
        <v>51484</v>
      </c>
      <c r="L170" s="24">
        <v>85796</v>
      </c>
      <c r="M170" s="24">
        <v>38248</v>
      </c>
      <c r="N170" s="24">
        <v>209760</v>
      </c>
      <c r="O170" s="24">
        <v>56437</v>
      </c>
      <c r="P170" s="24">
        <v>837271</v>
      </c>
      <c r="Q170" s="24">
        <v>64405</v>
      </c>
      <c r="R170" s="15">
        <f t="shared" si="16"/>
        <v>0</v>
      </c>
      <c r="S170" s="15" t="s">
        <v>16</v>
      </c>
      <c r="T170" s="15">
        <f t="shared" ref="T170:Y170" si="21">-$Q170*T5</f>
        <v>-13718.264999999999</v>
      </c>
      <c r="U170" s="15">
        <f t="shared" si="21"/>
        <v>-22412.94</v>
      </c>
      <c r="V170" s="15">
        <f t="shared" si="21"/>
        <v>-9274.32</v>
      </c>
      <c r="W170" s="15">
        <f t="shared" si="21"/>
        <v>-64.405000000000001</v>
      </c>
      <c r="X170" s="15">
        <f t="shared" si="21"/>
        <v>-64.405000000000001</v>
      </c>
      <c r="Y170" s="15">
        <f t="shared" si="21"/>
        <v>-18870.664999999997</v>
      </c>
      <c r="Z170" s="15"/>
      <c r="AA170" s="15" t="s">
        <v>16</v>
      </c>
      <c r="AB170" s="15">
        <f t="shared" si="18"/>
        <v>-12021.081</v>
      </c>
      <c r="AC170" s="15">
        <f t="shared" si="18"/>
        <v>-19640.075999999997</v>
      </c>
      <c r="AD170" s="15">
        <f t="shared" si="18"/>
        <v>-8126.927999999999</v>
      </c>
      <c r="AE170" s="15">
        <f t="shared" si="18"/>
        <v>-56.437000000000005</v>
      </c>
      <c r="AF170" s="15">
        <f t="shared" si="18"/>
        <v>-56.437000000000005</v>
      </c>
      <c r="AG170" s="15">
        <f t="shared" si="18"/>
        <v>-16536.040999999997</v>
      </c>
      <c r="AH170" s="27">
        <f t="shared" si="19"/>
        <v>0</v>
      </c>
    </row>
    <row r="171" spans="1:34" x14ac:dyDescent="0.25">
      <c r="A171" s="31" t="s">
        <v>241</v>
      </c>
      <c r="B171" s="31" t="s">
        <v>242</v>
      </c>
      <c r="C171" s="24">
        <v>1832</v>
      </c>
      <c r="D171" s="24">
        <v>497</v>
      </c>
      <c r="E171" s="24">
        <v>240</v>
      </c>
      <c r="F171" s="24">
        <v>480</v>
      </c>
      <c r="G171" s="24">
        <v>720</v>
      </c>
      <c r="H171" s="24">
        <v>940</v>
      </c>
      <c r="I171" s="24">
        <v>220</v>
      </c>
      <c r="J171" s="24">
        <v>330</v>
      </c>
      <c r="K171" s="24">
        <v>220</v>
      </c>
      <c r="L171" s="24">
        <v>220</v>
      </c>
      <c r="M171" s="24">
        <v>216</v>
      </c>
      <c r="N171" s="24">
        <v>216</v>
      </c>
      <c r="O171" s="24">
        <v>326</v>
      </c>
      <c r="P171" s="24">
        <v>6457</v>
      </c>
      <c r="Q171" s="24">
        <v>497</v>
      </c>
      <c r="R171" s="15">
        <f t="shared" si="16"/>
        <v>0</v>
      </c>
      <c r="S171" s="15" t="s">
        <v>34</v>
      </c>
      <c r="T171" s="15">
        <f t="shared" ref="T171:Y171" si="22">-$Q171*T7</f>
        <v>-95.424000000000007</v>
      </c>
      <c r="U171" s="15">
        <f t="shared" si="22"/>
        <v>-196.86170000000001</v>
      </c>
      <c r="V171" s="15">
        <f t="shared" si="22"/>
        <v>-68.088999999999999</v>
      </c>
      <c r="W171" s="15">
        <f t="shared" si="22"/>
        <v>-1.5904</v>
      </c>
      <c r="X171" s="15">
        <f t="shared" si="22"/>
        <v>-1.0934000000000001</v>
      </c>
      <c r="Y171" s="15">
        <f t="shared" si="22"/>
        <v>-133.94150000000002</v>
      </c>
      <c r="Z171" s="15"/>
      <c r="AA171" s="15" t="s">
        <v>34</v>
      </c>
      <c r="AB171" s="15">
        <f t="shared" ref="AB171:AG175" si="23">-$O171*AB$7</f>
        <v>-62.591999999999999</v>
      </c>
      <c r="AC171" s="15">
        <f t="shared" si="23"/>
        <v>-129.12860000000001</v>
      </c>
      <c r="AD171" s="15">
        <f t="shared" si="23"/>
        <v>-44.662000000000006</v>
      </c>
      <c r="AE171" s="15">
        <f t="shared" si="23"/>
        <v>-1.0432000000000001</v>
      </c>
      <c r="AF171" s="15">
        <f t="shared" si="23"/>
        <v>-0.71720000000000006</v>
      </c>
      <c r="AG171" s="15">
        <f t="shared" si="23"/>
        <v>-87.856999999999999</v>
      </c>
      <c r="AH171" s="27">
        <f t="shared" si="19"/>
        <v>0</v>
      </c>
    </row>
    <row r="172" spans="1:34" x14ac:dyDescent="0.25">
      <c r="A172" s="31" t="s">
        <v>243</v>
      </c>
      <c r="B172" s="31" t="s">
        <v>244</v>
      </c>
      <c r="C172" s="24">
        <v>3520</v>
      </c>
      <c r="D172" s="24">
        <v>0</v>
      </c>
      <c r="E172" s="24">
        <v>0</v>
      </c>
      <c r="F172" s="24">
        <v>940</v>
      </c>
      <c r="G172" s="24">
        <v>5836</v>
      </c>
      <c r="H172" s="24">
        <v>100</v>
      </c>
      <c r="I172" s="24">
        <v>100</v>
      </c>
      <c r="J172" s="24">
        <v>3138</v>
      </c>
      <c r="K172" s="24">
        <v>100</v>
      </c>
      <c r="L172" s="24">
        <v>100</v>
      </c>
      <c r="M172" s="24">
        <v>100</v>
      </c>
      <c r="N172" s="24">
        <v>100</v>
      </c>
      <c r="O172" s="24">
        <v>100</v>
      </c>
      <c r="P172" s="24">
        <v>14134</v>
      </c>
      <c r="Q172" s="24">
        <v>1087</v>
      </c>
      <c r="R172" s="15">
        <f t="shared" si="16"/>
        <v>0</v>
      </c>
      <c r="S172" s="15" t="s">
        <v>34</v>
      </c>
      <c r="T172" s="15">
        <f t="shared" ref="T172:Y175" si="24">-$Q172*T$7</f>
        <v>-208.70400000000001</v>
      </c>
      <c r="U172" s="15">
        <f t="shared" si="24"/>
        <v>-430.5607</v>
      </c>
      <c r="V172" s="15">
        <f t="shared" si="24"/>
        <v>-148.91900000000001</v>
      </c>
      <c r="W172" s="15">
        <f t="shared" si="24"/>
        <v>-3.4784000000000002</v>
      </c>
      <c r="X172" s="15">
        <f t="shared" si="24"/>
        <v>-2.3914</v>
      </c>
      <c r="Y172" s="15">
        <f t="shared" si="24"/>
        <v>-292.94650000000001</v>
      </c>
      <c r="Z172" s="15"/>
      <c r="AA172" s="15" t="s">
        <v>34</v>
      </c>
      <c r="AB172" s="15">
        <f t="shared" si="23"/>
        <v>-19.2</v>
      </c>
      <c r="AC172" s="15">
        <f t="shared" si="23"/>
        <v>-39.61</v>
      </c>
      <c r="AD172" s="15">
        <f t="shared" si="23"/>
        <v>-13.700000000000001</v>
      </c>
      <c r="AE172" s="15">
        <f t="shared" si="23"/>
        <v>-0.32</v>
      </c>
      <c r="AF172" s="15">
        <f t="shared" si="23"/>
        <v>-0.22</v>
      </c>
      <c r="AG172" s="15">
        <f t="shared" si="23"/>
        <v>-26.950000000000003</v>
      </c>
      <c r="AH172" s="27">
        <f t="shared" si="19"/>
        <v>0</v>
      </c>
    </row>
    <row r="173" spans="1:34" x14ac:dyDescent="0.25">
      <c r="A173" s="31" t="s">
        <v>245</v>
      </c>
      <c r="B173" s="31" t="s">
        <v>246</v>
      </c>
      <c r="C173" s="24">
        <v>2353</v>
      </c>
      <c r="D173" s="24">
        <v>2364</v>
      </c>
      <c r="E173" s="24">
        <v>2439</v>
      </c>
      <c r="F173" s="24">
        <v>2456</v>
      </c>
      <c r="G173" s="24">
        <v>-99</v>
      </c>
      <c r="H173" s="24">
        <v>-99</v>
      </c>
      <c r="I173" s="24">
        <v>-99</v>
      </c>
      <c r="J173" s="24">
        <v>2510</v>
      </c>
      <c r="K173" s="24">
        <v>2424</v>
      </c>
      <c r="L173" s="24">
        <v>2387</v>
      </c>
      <c r="M173" s="24">
        <v>0</v>
      </c>
      <c r="N173" s="24">
        <v>2370</v>
      </c>
      <c r="O173" s="24">
        <v>2262</v>
      </c>
      <c r="P173" s="24">
        <v>21266</v>
      </c>
      <c r="Q173" s="24">
        <v>1636</v>
      </c>
      <c r="R173" s="15">
        <f t="shared" si="16"/>
        <v>0</v>
      </c>
      <c r="S173" s="15" t="s">
        <v>34</v>
      </c>
      <c r="T173" s="15">
        <f t="shared" si="24"/>
        <v>-314.11200000000002</v>
      </c>
      <c r="U173" s="15">
        <f t="shared" si="24"/>
        <v>-648.01959999999997</v>
      </c>
      <c r="V173" s="15">
        <f t="shared" si="24"/>
        <v>-224.13200000000001</v>
      </c>
      <c r="W173" s="15">
        <f t="shared" si="24"/>
        <v>-5.2351999999999999</v>
      </c>
      <c r="X173" s="15">
        <f t="shared" si="24"/>
        <v>-3.5992000000000002</v>
      </c>
      <c r="Y173" s="15">
        <f t="shared" si="24"/>
        <v>-440.90200000000004</v>
      </c>
      <c r="Z173" s="15"/>
      <c r="AA173" s="15" t="s">
        <v>34</v>
      </c>
      <c r="AB173" s="15">
        <f t="shared" si="23"/>
        <v>-434.30400000000003</v>
      </c>
      <c r="AC173" s="15">
        <f t="shared" si="23"/>
        <v>-895.97820000000002</v>
      </c>
      <c r="AD173" s="15">
        <f t="shared" si="23"/>
        <v>-309.89400000000001</v>
      </c>
      <c r="AE173" s="15">
        <f t="shared" si="23"/>
        <v>-7.2384000000000004</v>
      </c>
      <c r="AF173" s="15">
        <f t="shared" si="23"/>
        <v>-4.9763999999999999</v>
      </c>
      <c r="AG173" s="15">
        <f t="shared" si="23"/>
        <v>-609.60900000000004</v>
      </c>
      <c r="AH173" s="27">
        <f t="shared" si="19"/>
        <v>0</v>
      </c>
    </row>
    <row r="174" spans="1:34" x14ac:dyDescent="0.25">
      <c r="A174" s="31" t="s">
        <v>247</v>
      </c>
      <c r="B174" s="31" t="s">
        <v>248</v>
      </c>
      <c r="C174" s="24">
        <v>207701</v>
      </c>
      <c r="D174" s="24">
        <v>79227</v>
      </c>
      <c r="E174" s="24">
        <v>63547</v>
      </c>
      <c r="F174" s="24">
        <v>44792</v>
      </c>
      <c r="G174" s="24">
        <v>36745</v>
      </c>
      <c r="H174" s="24">
        <v>92508</v>
      </c>
      <c r="I174" s="24">
        <v>47896</v>
      </c>
      <c r="J174" s="24">
        <v>56866</v>
      </c>
      <c r="K174" s="24">
        <v>27399</v>
      </c>
      <c r="L174" s="24">
        <v>63904</v>
      </c>
      <c r="M174" s="24">
        <v>94557</v>
      </c>
      <c r="N174" s="24">
        <v>62111</v>
      </c>
      <c r="O174" s="24">
        <v>197746</v>
      </c>
      <c r="P174" s="24">
        <v>1074998</v>
      </c>
      <c r="Q174" s="24">
        <v>82692</v>
      </c>
      <c r="R174" s="15">
        <f t="shared" si="16"/>
        <v>0</v>
      </c>
      <c r="S174" s="15" t="s">
        <v>34</v>
      </c>
      <c r="T174" s="15">
        <f>-$Q174*T$7</f>
        <v>-15876.864</v>
      </c>
      <c r="U174" s="15">
        <f t="shared" si="24"/>
        <v>-32754.301200000002</v>
      </c>
      <c r="V174" s="15">
        <f t="shared" si="24"/>
        <v>-11328.804</v>
      </c>
      <c r="W174" s="15">
        <f t="shared" si="24"/>
        <v>-264.61439999999999</v>
      </c>
      <c r="X174" s="15">
        <f t="shared" si="24"/>
        <v>-181.92240000000001</v>
      </c>
      <c r="Y174" s="15">
        <f t="shared" si="24"/>
        <v>-22285.494000000002</v>
      </c>
      <c r="Z174" s="15"/>
      <c r="AA174" s="15" t="s">
        <v>34</v>
      </c>
      <c r="AB174" s="15">
        <f t="shared" si="23"/>
        <v>-37967.232000000004</v>
      </c>
      <c r="AC174" s="15">
        <f t="shared" si="23"/>
        <v>-78327.190600000002</v>
      </c>
      <c r="AD174" s="15">
        <f t="shared" si="23"/>
        <v>-27091.202000000001</v>
      </c>
      <c r="AE174" s="15">
        <f t="shared" si="23"/>
        <v>-632.78719999999998</v>
      </c>
      <c r="AF174" s="15">
        <f t="shared" si="23"/>
        <v>-435.0412</v>
      </c>
      <c r="AG174" s="15">
        <f t="shared" si="23"/>
        <v>-53292.547000000006</v>
      </c>
      <c r="AH174" s="27">
        <f t="shared" si="19"/>
        <v>0</v>
      </c>
    </row>
    <row r="175" spans="1:34" x14ac:dyDescent="0.25">
      <c r="A175" s="31" t="s">
        <v>249</v>
      </c>
      <c r="B175" s="31" t="s">
        <v>250</v>
      </c>
      <c r="C175" s="24">
        <v>4023</v>
      </c>
      <c r="D175" s="24">
        <v>-1325</v>
      </c>
      <c r="E175" s="24">
        <v>-180669</v>
      </c>
      <c r="F175" s="24">
        <v>-12480</v>
      </c>
      <c r="G175" s="24">
        <v>-18058</v>
      </c>
      <c r="H175" s="24">
        <v>-23635</v>
      </c>
      <c r="I175" s="24">
        <v>-8721</v>
      </c>
      <c r="J175" s="24">
        <v>-14298</v>
      </c>
      <c r="K175" s="24">
        <v>-19876</v>
      </c>
      <c r="L175" s="24">
        <v>-8745</v>
      </c>
      <c r="M175" s="24">
        <v>-47739</v>
      </c>
      <c r="N175" s="24">
        <v>-53317</v>
      </c>
      <c r="O175" s="24">
        <v>-58894</v>
      </c>
      <c r="P175" s="24">
        <v>-443734</v>
      </c>
      <c r="Q175" s="24">
        <v>-34133</v>
      </c>
      <c r="R175" s="15"/>
      <c r="S175" s="15" t="s">
        <v>34</v>
      </c>
      <c r="T175" s="15">
        <f>-$Q175*T$7</f>
        <v>6553.5360000000001</v>
      </c>
      <c r="U175" s="15">
        <f t="shared" si="24"/>
        <v>13520.0813</v>
      </c>
      <c r="V175" s="15">
        <f t="shared" si="24"/>
        <v>4676.2210000000005</v>
      </c>
      <c r="W175" s="15">
        <f t="shared" si="24"/>
        <v>109.2256</v>
      </c>
      <c r="X175" s="15">
        <f t="shared" si="24"/>
        <v>75.092600000000004</v>
      </c>
      <c r="Y175" s="15">
        <f t="shared" si="24"/>
        <v>9198.8435000000009</v>
      </c>
      <c r="Z175" s="15"/>
      <c r="AA175" s="15" t="s">
        <v>34</v>
      </c>
      <c r="AB175" s="15">
        <f t="shared" si="23"/>
        <v>11307.648000000001</v>
      </c>
      <c r="AC175" s="15">
        <f t="shared" si="23"/>
        <v>23327.913400000001</v>
      </c>
      <c r="AD175" s="15">
        <f t="shared" si="23"/>
        <v>8068.478000000001</v>
      </c>
      <c r="AE175" s="15">
        <f t="shared" si="23"/>
        <v>188.46080000000001</v>
      </c>
      <c r="AF175" s="15">
        <f t="shared" si="23"/>
        <v>129.5668</v>
      </c>
      <c r="AG175" s="15">
        <f t="shared" si="23"/>
        <v>15871.933000000001</v>
      </c>
      <c r="AH175" s="27"/>
    </row>
    <row r="176" spans="1:34" x14ac:dyDescent="0.25">
      <c r="A176" s="35"/>
      <c r="B176" s="35"/>
      <c r="C176" s="36" t="s">
        <v>67</v>
      </c>
      <c r="D176" s="36" t="s">
        <v>67</v>
      </c>
      <c r="E176" s="36" t="s">
        <v>67</v>
      </c>
      <c r="F176" s="36" t="s">
        <v>67</v>
      </c>
      <c r="G176" s="36" t="s">
        <v>67</v>
      </c>
      <c r="H176" s="36" t="s">
        <v>67</v>
      </c>
      <c r="I176" s="36" t="s">
        <v>67</v>
      </c>
      <c r="J176" s="36" t="s">
        <v>67</v>
      </c>
      <c r="K176" s="36" t="s">
        <v>67</v>
      </c>
      <c r="L176" s="36" t="s">
        <v>67</v>
      </c>
      <c r="M176" s="36" t="s">
        <v>67</v>
      </c>
      <c r="N176" s="36" t="s">
        <v>67</v>
      </c>
      <c r="O176" s="36" t="s">
        <v>67</v>
      </c>
      <c r="P176" s="36" t="s">
        <v>67</v>
      </c>
      <c r="Q176" s="36" t="s">
        <v>67</v>
      </c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3"/>
    </row>
    <row r="177" spans="1:34" x14ac:dyDescent="0.25">
      <c r="A177" s="37" t="s">
        <v>251</v>
      </c>
      <c r="B177" s="38"/>
      <c r="C177" s="39">
        <v>2448535</v>
      </c>
      <c r="D177" s="39">
        <v>4104760</v>
      </c>
      <c r="E177" s="39">
        <v>7914332</v>
      </c>
      <c r="F177" s="39">
        <v>5090402</v>
      </c>
      <c r="G177" s="39">
        <v>4031801</v>
      </c>
      <c r="H177" s="39">
        <v>5065693</v>
      </c>
      <c r="I177" s="39">
        <v>6144160</v>
      </c>
      <c r="J177" s="39">
        <v>4089427</v>
      </c>
      <c r="K177" s="39">
        <v>3108284</v>
      </c>
      <c r="L177" s="39">
        <v>7826574</v>
      </c>
      <c r="M177" s="39">
        <v>6225158</v>
      </c>
      <c r="N177" s="39">
        <v>2665957</v>
      </c>
      <c r="O177" s="39">
        <v>1788819</v>
      </c>
      <c r="P177" s="39">
        <v>60503904</v>
      </c>
      <c r="Q177" s="39">
        <v>4654146</v>
      </c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3"/>
    </row>
    <row r="178" spans="1:34" x14ac:dyDescent="0.25">
      <c r="A178" s="35"/>
      <c r="B178" s="35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3"/>
    </row>
    <row r="179" spans="1:34" x14ac:dyDescent="0.25">
      <c r="A179" s="37" t="s">
        <v>252</v>
      </c>
      <c r="B179" s="38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3"/>
    </row>
    <row r="180" spans="1:34" x14ac:dyDescent="0.25">
      <c r="A180" s="31" t="s">
        <v>253</v>
      </c>
      <c r="B180" s="31" t="s">
        <v>254</v>
      </c>
      <c r="C180" s="24">
        <v>20873</v>
      </c>
      <c r="D180" s="24">
        <v>20873</v>
      </c>
      <c r="E180" s="24">
        <v>20873</v>
      </c>
      <c r="F180" s="24">
        <v>20873</v>
      </c>
      <c r="G180" s="24">
        <v>20873</v>
      </c>
      <c r="H180" s="24">
        <v>20873</v>
      </c>
      <c r="I180" s="24">
        <v>20873</v>
      </c>
      <c r="J180" s="24">
        <v>20873</v>
      </c>
      <c r="K180" s="24">
        <v>20873</v>
      </c>
      <c r="L180" s="24">
        <v>20873</v>
      </c>
      <c r="M180" s="24">
        <v>20873</v>
      </c>
      <c r="N180" s="24">
        <v>20873</v>
      </c>
      <c r="O180" s="24">
        <v>20873</v>
      </c>
      <c r="P180" s="24">
        <v>271346</v>
      </c>
      <c r="Q180" s="24">
        <v>20873</v>
      </c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3"/>
    </row>
    <row r="181" spans="1:34" x14ac:dyDescent="0.25">
      <c r="A181" s="31" t="s">
        <v>255</v>
      </c>
      <c r="B181" s="31" t="s">
        <v>256</v>
      </c>
      <c r="C181" s="24">
        <v>2535037</v>
      </c>
      <c r="D181" s="24">
        <v>2535037</v>
      </c>
      <c r="E181" s="24">
        <v>2535037</v>
      </c>
      <c r="F181" s="24">
        <v>3052502</v>
      </c>
      <c r="G181" s="24">
        <v>3052502</v>
      </c>
      <c r="H181" s="24">
        <v>3052502</v>
      </c>
      <c r="I181" s="24">
        <v>3098873</v>
      </c>
      <c r="J181" s="24">
        <v>3098873</v>
      </c>
      <c r="K181" s="24">
        <v>3098873</v>
      </c>
      <c r="L181" s="24">
        <v>3200347</v>
      </c>
      <c r="M181" s="24">
        <v>3200347</v>
      </c>
      <c r="N181" s="24">
        <v>3200347</v>
      </c>
      <c r="O181" s="24">
        <v>2464378</v>
      </c>
      <c r="P181" s="24">
        <v>38124651</v>
      </c>
      <c r="Q181" s="24">
        <v>2932665</v>
      </c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3"/>
    </row>
    <row r="182" spans="1:34" x14ac:dyDescent="0.25">
      <c r="A182" s="35"/>
      <c r="B182" s="35"/>
      <c r="C182" s="36" t="s">
        <v>67</v>
      </c>
      <c r="D182" s="36" t="s">
        <v>67</v>
      </c>
      <c r="E182" s="36" t="s">
        <v>67</v>
      </c>
      <c r="F182" s="36" t="s">
        <v>67</v>
      </c>
      <c r="G182" s="36" t="s">
        <v>67</v>
      </c>
      <c r="H182" s="36" t="s">
        <v>67</v>
      </c>
      <c r="I182" s="36" t="s">
        <v>67</v>
      </c>
      <c r="J182" s="36" t="s">
        <v>67</v>
      </c>
      <c r="K182" s="36" t="s">
        <v>67</v>
      </c>
      <c r="L182" s="36" t="s">
        <v>67</v>
      </c>
      <c r="M182" s="36" t="s">
        <v>67</v>
      </c>
      <c r="N182" s="36" t="s">
        <v>67</v>
      </c>
      <c r="O182" s="36" t="s">
        <v>67</v>
      </c>
      <c r="P182" s="36" t="s">
        <v>67</v>
      </c>
      <c r="Q182" s="36" t="s">
        <v>67</v>
      </c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3"/>
    </row>
    <row r="183" spans="1:34" x14ac:dyDescent="0.25">
      <c r="A183" s="37" t="s">
        <v>257</v>
      </c>
      <c r="B183" s="38"/>
      <c r="C183" s="39">
        <v>2555910</v>
      </c>
      <c r="D183" s="39">
        <v>2555910</v>
      </c>
      <c r="E183" s="39">
        <v>2555910</v>
      </c>
      <c r="F183" s="39">
        <v>3073374</v>
      </c>
      <c r="G183" s="39">
        <v>3073374</v>
      </c>
      <c r="H183" s="39">
        <v>3073374</v>
      </c>
      <c r="I183" s="39">
        <v>3119745</v>
      </c>
      <c r="J183" s="39">
        <v>3119745</v>
      </c>
      <c r="K183" s="39">
        <v>3119745</v>
      </c>
      <c r="L183" s="39">
        <v>3221219</v>
      </c>
      <c r="M183" s="39">
        <v>3221219</v>
      </c>
      <c r="N183" s="39">
        <v>3221219</v>
      </c>
      <c r="O183" s="39">
        <v>2485251</v>
      </c>
      <c r="P183" s="39">
        <v>38395997</v>
      </c>
      <c r="Q183" s="39">
        <v>2953538</v>
      </c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3"/>
    </row>
    <row r="184" spans="1:34" x14ac:dyDescent="0.25">
      <c r="A184" s="35"/>
      <c r="B184" s="35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3"/>
    </row>
    <row r="185" spans="1:34" x14ac:dyDescent="0.25">
      <c r="A185" s="37" t="s">
        <v>258</v>
      </c>
      <c r="B185" s="38"/>
      <c r="C185" s="39"/>
      <c r="D185" s="39"/>
      <c r="E185" s="39"/>
      <c r="F185" s="39"/>
      <c r="G185" s="39"/>
      <c r="H185" s="39"/>
      <c r="I185" s="39"/>
      <c r="J185" s="24"/>
      <c r="K185" s="24"/>
      <c r="L185" s="24"/>
      <c r="M185" s="24"/>
      <c r="N185" s="24"/>
      <c r="O185" s="24"/>
      <c r="P185" s="24"/>
      <c r="Q185" s="24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3"/>
    </row>
    <row r="186" spans="1:34" x14ac:dyDescent="0.25">
      <c r="A186" s="31" t="s">
        <v>259</v>
      </c>
      <c r="B186" s="31" t="s">
        <v>260</v>
      </c>
      <c r="C186" s="39"/>
      <c r="D186" s="39"/>
      <c r="E186" s="39"/>
      <c r="F186" s="39"/>
      <c r="G186" s="39"/>
      <c r="H186" s="39"/>
      <c r="I186" s="39"/>
      <c r="J186" s="24">
        <v>0</v>
      </c>
      <c r="K186" s="24">
        <v>0</v>
      </c>
      <c r="L186" s="24">
        <v>-350000</v>
      </c>
      <c r="M186" s="24">
        <v>-350000</v>
      </c>
      <c r="N186" s="24">
        <v>-350000</v>
      </c>
      <c r="O186" s="24">
        <v>-350000</v>
      </c>
      <c r="P186" s="24">
        <v>-1400000</v>
      </c>
      <c r="Q186" s="24">
        <v>-107692</v>
      </c>
      <c r="R186" s="15">
        <f>SUM(T186:Y186)+Q186</f>
        <v>0</v>
      </c>
      <c r="S186" s="15" t="s">
        <v>16</v>
      </c>
      <c r="T186" s="15">
        <f t="shared" ref="T186:Y186" si="25">-$Q186*T5</f>
        <v>22938.396000000001</v>
      </c>
      <c r="U186" s="15">
        <f t="shared" si="25"/>
        <v>37476.815999999999</v>
      </c>
      <c r="V186" s="15">
        <f t="shared" si="25"/>
        <v>15507.647999999999</v>
      </c>
      <c r="W186" s="15">
        <f t="shared" si="25"/>
        <v>107.69200000000001</v>
      </c>
      <c r="X186" s="15">
        <f t="shared" si="25"/>
        <v>107.69200000000001</v>
      </c>
      <c r="Y186" s="15">
        <f t="shared" si="25"/>
        <v>31553.755999999998</v>
      </c>
      <c r="Z186" s="15"/>
      <c r="AA186" s="15" t="s">
        <v>16</v>
      </c>
      <c r="AB186" s="15">
        <f t="shared" ref="AB186:AG191" si="26">-$O186*AB$5</f>
        <v>74550</v>
      </c>
      <c r="AC186" s="15">
        <f t="shared" si="26"/>
        <v>121799.99999999999</v>
      </c>
      <c r="AD186" s="15">
        <f t="shared" si="26"/>
        <v>50399.999999999993</v>
      </c>
      <c r="AE186" s="15">
        <f t="shared" si="26"/>
        <v>350</v>
      </c>
      <c r="AF186" s="15">
        <f t="shared" si="26"/>
        <v>350</v>
      </c>
      <c r="AG186" s="15">
        <f t="shared" si="26"/>
        <v>102550</v>
      </c>
      <c r="AH186" s="27">
        <f t="shared" ref="AH186:AH191" si="27">SUM(AB186:AG186)+O186</f>
        <v>0</v>
      </c>
    </row>
    <row r="187" spans="1:34" x14ac:dyDescent="0.25">
      <c r="A187" s="31" t="s">
        <v>261</v>
      </c>
      <c r="B187" s="31" t="s">
        <v>262</v>
      </c>
      <c r="C187" s="24">
        <v>-36797</v>
      </c>
      <c r="D187" s="24">
        <v>-36797</v>
      </c>
      <c r="E187" s="24">
        <v>-36797</v>
      </c>
      <c r="F187" s="24">
        <v>-87919</v>
      </c>
      <c r="G187" s="24">
        <v>-87919</v>
      </c>
      <c r="H187" s="24">
        <v>-87919</v>
      </c>
      <c r="I187" s="24">
        <v>-125028</v>
      </c>
      <c r="J187" s="24">
        <v>-125028</v>
      </c>
      <c r="K187" s="24">
        <v>-125028</v>
      </c>
      <c r="L187" s="24">
        <v>-122753</v>
      </c>
      <c r="M187" s="24">
        <v>-122753</v>
      </c>
      <c r="N187" s="24">
        <v>-122753</v>
      </c>
      <c r="O187" s="24">
        <v>-59545</v>
      </c>
      <c r="P187" s="24">
        <v>-1177031</v>
      </c>
      <c r="Q187" s="24">
        <v>-90541</v>
      </c>
      <c r="R187" s="15">
        <f>SUM(T187:Y187)+Q187</f>
        <v>0</v>
      </c>
      <c r="S187" s="15" t="s">
        <v>16</v>
      </c>
      <c r="T187" s="15">
        <f t="shared" ref="T187:Y187" si="28">-$Q187*T5</f>
        <v>19285.233</v>
      </c>
      <c r="U187" s="15">
        <f t="shared" si="28"/>
        <v>31508.267999999996</v>
      </c>
      <c r="V187" s="15">
        <f t="shared" si="28"/>
        <v>13037.903999999999</v>
      </c>
      <c r="W187" s="15">
        <f t="shared" si="28"/>
        <v>90.540999999999997</v>
      </c>
      <c r="X187" s="15">
        <f t="shared" si="28"/>
        <v>90.540999999999997</v>
      </c>
      <c r="Y187" s="15">
        <f t="shared" si="28"/>
        <v>26528.512999999999</v>
      </c>
      <c r="Z187" s="15"/>
      <c r="AA187" s="15" t="s">
        <v>16</v>
      </c>
      <c r="AB187" s="15">
        <f t="shared" si="26"/>
        <v>12683.084999999999</v>
      </c>
      <c r="AC187" s="15">
        <f t="shared" si="26"/>
        <v>20721.66</v>
      </c>
      <c r="AD187" s="15">
        <f t="shared" si="26"/>
        <v>8574.48</v>
      </c>
      <c r="AE187" s="15">
        <f t="shared" si="26"/>
        <v>59.545000000000002</v>
      </c>
      <c r="AF187" s="15">
        <f t="shared" si="26"/>
        <v>59.545000000000002</v>
      </c>
      <c r="AG187" s="15">
        <f t="shared" si="26"/>
        <v>17446.684999999998</v>
      </c>
      <c r="AH187" s="27">
        <f t="shared" si="27"/>
        <v>0</v>
      </c>
    </row>
    <row r="188" spans="1:34" x14ac:dyDescent="0.25">
      <c r="A188" s="31" t="s">
        <v>263</v>
      </c>
      <c r="B188" s="31" t="s">
        <v>264</v>
      </c>
      <c r="C188" s="24">
        <v>0</v>
      </c>
      <c r="D188" s="24">
        <v>0</v>
      </c>
      <c r="E188" s="24">
        <v>0</v>
      </c>
      <c r="F188" s="24">
        <v>0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-626133</v>
      </c>
      <c r="P188" s="24">
        <v>-626133</v>
      </c>
      <c r="Q188" s="24">
        <v>-48164</v>
      </c>
      <c r="R188" s="15">
        <f>SUM(T188:Y188)+Q188</f>
        <v>0</v>
      </c>
      <c r="S188" s="15" t="s">
        <v>16</v>
      </c>
      <c r="T188" s="15">
        <f t="shared" ref="T188:Y188" si="29">-$Q188*T5</f>
        <v>10258.931999999999</v>
      </c>
      <c r="U188" s="15">
        <f t="shared" si="29"/>
        <v>16761.072</v>
      </c>
      <c r="V188" s="15">
        <f t="shared" si="29"/>
        <v>6935.6159999999991</v>
      </c>
      <c r="W188" s="15">
        <f t="shared" si="29"/>
        <v>48.164000000000001</v>
      </c>
      <c r="X188" s="15">
        <f t="shared" si="29"/>
        <v>48.164000000000001</v>
      </c>
      <c r="Y188" s="15">
        <f t="shared" si="29"/>
        <v>14112.052</v>
      </c>
      <c r="Z188" s="15"/>
      <c r="AA188" s="15" t="s">
        <v>16</v>
      </c>
      <c r="AB188" s="15">
        <f t="shared" si="26"/>
        <v>133366.329</v>
      </c>
      <c r="AC188" s="15">
        <f t="shared" si="26"/>
        <v>217894.28399999999</v>
      </c>
      <c r="AD188" s="15">
        <f t="shared" si="26"/>
        <v>90163.151999999987</v>
      </c>
      <c r="AE188" s="15">
        <f t="shared" si="26"/>
        <v>626.13300000000004</v>
      </c>
      <c r="AF188" s="15">
        <f t="shared" si="26"/>
        <v>626.13300000000004</v>
      </c>
      <c r="AG188" s="15">
        <f t="shared" si="26"/>
        <v>183456.96899999998</v>
      </c>
      <c r="AH188" s="27">
        <f t="shared" si="27"/>
        <v>0</v>
      </c>
    </row>
    <row r="189" spans="1:34" x14ac:dyDescent="0.25">
      <c r="A189" s="31" t="s">
        <v>265</v>
      </c>
      <c r="B189" s="31" t="s">
        <v>266</v>
      </c>
      <c r="C189" s="24">
        <v>-165608</v>
      </c>
      <c r="D189" s="24">
        <v>-165608</v>
      </c>
      <c r="E189" s="24">
        <v>-165608</v>
      </c>
      <c r="F189" s="24">
        <v>-395689</v>
      </c>
      <c r="G189" s="24">
        <v>-395689</v>
      </c>
      <c r="H189" s="24">
        <v>-395689</v>
      </c>
      <c r="I189" s="24">
        <v>-562703</v>
      </c>
      <c r="J189" s="24">
        <v>-562703</v>
      </c>
      <c r="K189" s="24">
        <v>-562703</v>
      </c>
      <c r="L189" s="24">
        <v>-617414</v>
      </c>
      <c r="M189" s="24">
        <v>-617414</v>
      </c>
      <c r="N189" s="24">
        <v>-617414</v>
      </c>
      <c r="O189" s="24">
        <v>-343881</v>
      </c>
      <c r="P189" s="24">
        <v>-5568124</v>
      </c>
      <c r="Q189" s="24">
        <v>-428317</v>
      </c>
      <c r="R189" s="15">
        <f>SUM(T189:Y189)+Q189</f>
        <v>0</v>
      </c>
      <c r="S189" s="15" t="s">
        <v>16</v>
      </c>
      <c r="T189" s="15">
        <f t="shared" ref="T189:Y189" si="30">-$Q189*T5</f>
        <v>91231.520999999993</v>
      </c>
      <c r="U189" s="15">
        <f t="shared" si="30"/>
        <v>149054.31599999999</v>
      </c>
      <c r="V189" s="15">
        <f t="shared" si="30"/>
        <v>61677.647999999994</v>
      </c>
      <c r="W189" s="15">
        <f t="shared" si="30"/>
        <v>428.31700000000001</v>
      </c>
      <c r="X189" s="15">
        <f t="shared" si="30"/>
        <v>428.31700000000001</v>
      </c>
      <c r="Y189" s="15">
        <f t="shared" si="30"/>
        <v>125496.88099999999</v>
      </c>
      <c r="Z189" s="15"/>
      <c r="AA189" s="15" t="s">
        <v>16</v>
      </c>
      <c r="AB189" s="15">
        <f t="shared" si="26"/>
        <v>73246.652999999991</v>
      </c>
      <c r="AC189" s="15">
        <f t="shared" si="26"/>
        <v>119670.58799999999</v>
      </c>
      <c r="AD189" s="15">
        <f t="shared" si="26"/>
        <v>49518.863999999994</v>
      </c>
      <c r="AE189" s="15">
        <f t="shared" si="26"/>
        <v>343.88100000000003</v>
      </c>
      <c r="AF189" s="15">
        <f t="shared" si="26"/>
        <v>343.88100000000003</v>
      </c>
      <c r="AG189" s="15">
        <f t="shared" si="26"/>
        <v>100757.13299999999</v>
      </c>
      <c r="AH189" s="27">
        <f t="shared" si="27"/>
        <v>0</v>
      </c>
    </row>
    <row r="190" spans="1:34" x14ac:dyDescent="0.25">
      <c r="A190" s="31" t="s">
        <v>267</v>
      </c>
      <c r="B190" s="31" t="s">
        <v>268</v>
      </c>
      <c r="C190" s="24">
        <v>0</v>
      </c>
      <c r="D190" s="24">
        <v>0</v>
      </c>
      <c r="E190" s="24">
        <v>0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-165616</v>
      </c>
      <c r="P190" s="24">
        <v>-165616</v>
      </c>
      <c r="Q190" s="24">
        <v>-12740</v>
      </c>
      <c r="R190" s="15"/>
      <c r="S190" s="15" t="s">
        <v>16</v>
      </c>
      <c r="T190" s="15">
        <f t="shared" ref="T190:Y190" si="31">-$Q190*T5</f>
        <v>2713.62</v>
      </c>
      <c r="U190" s="15">
        <f t="shared" si="31"/>
        <v>4433.5199999999995</v>
      </c>
      <c r="V190" s="15">
        <f t="shared" si="31"/>
        <v>1834.56</v>
      </c>
      <c r="W190" s="15">
        <f t="shared" si="31"/>
        <v>12.74</v>
      </c>
      <c r="X190" s="15">
        <f t="shared" si="31"/>
        <v>12.74</v>
      </c>
      <c r="Y190" s="15">
        <f t="shared" si="31"/>
        <v>3732.8199999999997</v>
      </c>
      <c r="Z190" s="15"/>
      <c r="AA190" s="15" t="s">
        <v>16</v>
      </c>
      <c r="AB190" s="15">
        <f t="shared" si="26"/>
        <v>35276.207999999999</v>
      </c>
      <c r="AC190" s="15">
        <f t="shared" si="26"/>
        <v>57634.367999999995</v>
      </c>
      <c r="AD190" s="15">
        <f t="shared" si="26"/>
        <v>23848.703999999998</v>
      </c>
      <c r="AE190" s="15">
        <f t="shared" si="26"/>
        <v>165.61600000000001</v>
      </c>
      <c r="AF190" s="15">
        <f t="shared" si="26"/>
        <v>165.61600000000001</v>
      </c>
      <c r="AG190" s="15">
        <f t="shared" si="26"/>
        <v>48525.487999999998</v>
      </c>
      <c r="AH190" s="27">
        <f t="shared" si="27"/>
        <v>0</v>
      </c>
    </row>
    <row r="191" spans="1:34" x14ac:dyDescent="0.25">
      <c r="A191" s="31" t="s">
        <v>269</v>
      </c>
      <c r="B191" s="31" t="s">
        <v>270</v>
      </c>
      <c r="C191" s="24">
        <v>-621172</v>
      </c>
      <c r="D191" s="24">
        <v>-621172</v>
      </c>
      <c r="E191" s="24">
        <v>-621172</v>
      </c>
      <c r="F191" s="24">
        <v>-621172</v>
      </c>
      <c r="G191" s="24">
        <v>-621172</v>
      </c>
      <c r="H191" s="24">
        <v>-621172</v>
      </c>
      <c r="I191" s="24">
        <v>-621172</v>
      </c>
      <c r="J191" s="24">
        <v>-621172</v>
      </c>
      <c r="K191" s="24">
        <v>-589335</v>
      </c>
      <c r="L191" s="24">
        <v>-589335</v>
      </c>
      <c r="M191" s="24">
        <v>-589335</v>
      </c>
      <c r="N191" s="24">
        <v>-589335</v>
      </c>
      <c r="O191" s="24">
        <v>0</v>
      </c>
      <c r="P191" s="24">
        <v>-7326716</v>
      </c>
      <c r="Q191" s="24">
        <v>-563594</v>
      </c>
      <c r="R191" s="15"/>
      <c r="S191" s="15" t="s">
        <v>16</v>
      </c>
      <c r="T191" s="15">
        <f t="shared" ref="T191:Y191" si="32">-$Q191*T5</f>
        <v>120045.522</v>
      </c>
      <c r="U191" s="15">
        <f t="shared" si="32"/>
        <v>196130.712</v>
      </c>
      <c r="V191" s="15">
        <f t="shared" si="32"/>
        <v>81157.535999999993</v>
      </c>
      <c r="W191" s="15">
        <f t="shared" si="32"/>
        <v>563.59400000000005</v>
      </c>
      <c r="X191" s="15">
        <f t="shared" si="32"/>
        <v>563.59400000000005</v>
      </c>
      <c r="Y191" s="15">
        <f t="shared" si="32"/>
        <v>165133.04199999999</v>
      </c>
      <c r="Z191" s="15"/>
      <c r="AA191" s="15" t="s">
        <v>16</v>
      </c>
      <c r="AB191" s="15">
        <f t="shared" si="26"/>
        <v>0</v>
      </c>
      <c r="AC191" s="15">
        <f t="shared" si="26"/>
        <v>0</v>
      </c>
      <c r="AD191" s="15">
        <f t="shared" si="26"/>
        <v>0</v>
      </c>
      <c r="AE191" s="15">
        <f t="shared" si="26"/>
        <v>0</v>
      </c>
      <c r="AF191" s="15">
        <f t="shared" si="26"/>
        <v>0</v>
      </c>
      <c r="AG191" s="15">
        <f t="shared" si="26"/>
        <v>0</v>
      </c>
      <c r="AH191" s="27">
        <f t="shared" si="27"/>
        <v>0</v>
      </c>
    </row>
    <row r="192" spans="1:34" x14ac:dyDescent="0.25">
      <c r="A192" s="35"/>
      <c r="B192" s="35"/>
      <c r="C192" s="36" t="s">
        <v>67</v>
      </c>
      <c r="D192" s="36" t="s">
        <v>67</v>
      </c>
      <c r="E192" s="36" t="s">
        <v>67</v>
      </c>
      <c r="F192" s="36" t="s">
        <v>67</v>
      </c>
      <c r="G192" s="36" t="s">
        <v>67</v>
      </c>
      <c r="H192" s="36" t="s">
        <v>67</v>
      </c>
      <c r="I192" s="36" t="s">
        <v>67</v>
      </c>
      <c r="J192" s="36" t="s">
        <v>67</v>
      </c>
      <c r="K192" s="36" t="s">
        <v>67</v>
      </c>
      <c r="L192" s="36" t="s">
        <v>67</v>
      </c>
      <c r="M192" s="36" t="s">
        <v>67</v>
      </c>
      <c r="N192" s="36" t="s">
        <v>67</v>
      </c>
      <c r="O192" s="36" t="s">
        <v>67</v>
      </c>
      <c r="P192" s="36" t="s">
        <v>67</v>
      </c>
      <c r="Q192" s="36" t="s">
        <v>67</v>
      </c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27"/>
    </row>
    <row r="193" spans="1:34" x14ac:dyDescent="0.25">
      <c r="A193" s="37" t="s">
        <v>271</v>
      </c>
      <c r="B193" s="38"/>
      <c r="C193" s="39">
        <v>-823577</v>
      </c>
      <c r="D193" s="39">
        <v>-823577</v>
      </c>
      <c r="E193" s="39">
        <v>-823577</v>
      </c>
      <c r="F193" s="39">
        <v>-1104780</v>
      </c>
      <c r="G193" s="39">
        <v>-1104780</v>
      </c>
      <c r="H193" s="39">
        <v>-1104780</v>
      </c>
      <c r="I193" s="39">
        <v>-1308903</v>
      </c>
      <c r="J193" s="39">
        <v>-1308903</v>
      </c>
      <c r="K193" s="39">
        <v>-1277066</v>
      </c>
      <c r="L193" s="39">
        <v>-1679501</v>
      </c>
      <c r="M193" s="39">
        <v>-1679501</v>
      </c>
      <c r="N193" s="39">
        <v>-1679501</v>
      </c>
      <c r="O193" s="39">
        <v>-1545175</v>
      </c>
      <c r="P193" s="39">
        <v>-16263621</v>
      </c>
      <c r="Q193" s="39">
        <v>-1251048</v>
      </c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27"/>
    </row>
    <row r="194" spans="1:34" x14ac:dyDescent="0.25">
      <c r="A194" s="35"/>
      <c r="B194" s="35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27"/>
    </row>
    <row r="195" spans="1:34" x14ac:dyDescent="0.25">
      <c r="A195" s="37" t="s">
        <v>272</v>
      </c>
      <c r="B195" s="38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27"/>
    </row>
    <row r="196" spans="1:34" x14ac:dyDescent="0.25">
      <c r="A196" s="31" t="s">
        <v>273</v>
      </c>
      <c r="B196" s="31" t="s">
        <v>274</v>
      </c>
      <c r="C196" s="24">
        <v>416161</v>
      </c>
      <c r="D196" s="24">
        <v>474353</v>
      </c>
      <c r="E196" s="24">
        <v>464736</v>
      </c>
      <c r="F196" s="24">
        <v>758854</v>
      </c>
      <c r="G196" s="24">
        <v>934347</v>
      </c>
      <c r="H196" s="24">
        <v>1040349</v>
      </c>
      <c r="I196" s="24">
        <v>1203660</v>
      </c>
      <c r="J196" s="24">
        <v>462073</v>
      </c>
      <c r="K196" s="24">
        <v>691405</v>
      </c>
      <c r="L196" s="24">
        <v>843392</v>
      </c>
      <c r="M196" s="24">
        <v>948423</v>
      </c>
      <c r="N196" s="24">
        <v>1144594</v>
      </c>
      <c r="O196" s="24">
        <v>474927</v>
      </c>
      <c r="P196" s="24">
        <v>9857275</v>
      </c>
      <c r="Q196" s="24">
        <v>758252</v>
      </c>
      <c r="R196" s="15">
        <f>SUM(T196:Y196)+Q196</f>
        <v>0</v>
      </c>
      <c r="S196" s="15" t="s">
        <v>34</v>
      </c>
      <c r="T196" s="15">
        <f t="shared" ref="T196:Y199" si="33">-$Q196*T$7</f>
        <v>-145584.38399999999</v>
      </c>
      <c r="U196" s="15">
        <f t="shared" si="33"/>
        <v>-300343.61719999998</v>
      </c>
      <c r="V196" s="15">
        <f t="shared" si="33"/>
        <v>-103880.524</v>
      </c>
      <c r="W196" s="15">
        <f t="shared" si="33"/>
        <v>-2426.4064000000003</v>
      </c>
      <c r="X196" s="15">
        <f t="shared" si="33"/>
        <v>-1668.1544000000001</v>
      </c>
      <c r="Y196" s="15">
        <f t="shared" si="33"/>
        <v>-204348.91400000002</v>
      </c>
      <c r="Z196" s="15"/>
      <c r="AA196" s="15" t="s">
        <v>34</v>
      </c>
      <c r="AB196" s="15">
        <f>-$O196*AB$7</f>
        <v>-91185.983999999997</v>
      </c>
      <c r="AC196" s="15">
        <f t="shared" ref="AC196:AG199" si="34">-$O196*AC$7</f>
        <v>-188118.58470000001</v>
      </c>
      <c r="AD196" s="15">
        <f t="shared" si="34"/>
        <v>-65064.999000000003</v>
      </c>
      <c r="AE196" s="15">
        <f t="shared" si="34"/>
        <v>-1519.7664</v>
      </c>
      <c r="AF196" s="15">
        <f t="shared" si="34"/>
        <v>-1044.8394000000001</v>
      </c>
      <c r="AG196" s="15">
        <f t="shared" si="34"/>
        <v>-127992.82650000001</v>
      </c>
      <c r="AH196" s="27">
        <f>SUM(AB196:AG196)+O196</f>
        <v>0</v>
      </c>
    </row>
    <row r="197" spans="1:34" x14ac:dyDescent="0.25">
      <c r="A197" s="31" t="s">
        <v>275</v>
      </c>
      <c r="B197" s="31" t="s">
        <v>276</v>
      </c>
      <c r="C197" s="24">
        <v>308243</v>
      </c>
      <c r="D197" s="24">
        <v>308243</v>
      </c>
      <c r="E197" s="24">
        <v>308243</v>
      </c>
      <c r="F197" s="24">
        <v>291797</v>
      </c>
      <c r="G197" s="24">
        <v>291797</v>
      </c>
      <c r="H197" s="24">
        <v>291797</v>
      </c>
      <c r="I197" s="24">
        <v>289145</v>
      </c>
      <c r="J197" s="24">
        <v>289145</v>
      </c>
      <c r="K197" s="24">
        <v>289145</v>
      </c>
      <c r="L197" s="24">
        <v>270314</v>
      </c>
      <c r="M197" s="24">
        <v>270314</v>
      </c>
      <c r="N197" s="24">
        <v>270314</v>
      </c>
      <c r="O197" s="24">
        <v>269029</v>
      </c>
      <c r="P197" s="24">
        <v>3747525</v>
      </c>
      <c r="Q197" s="24">
        <v>288271</v>
      </c>
      <c r="R197" s="15">
        <f>SUM(T197:Y197)+Q197</f>
        <v>0</v>
      </c>
      <c r="S197" s="15" t="s">
        <v>34</v>
      </c>
      <c r="T197" s="15">
        <f t="shared" si="33"/>
        <v>-55348.031999999999</v>
      </c>
      <c r="U197" s="15">
        <f t="shared" si="33"/>
        <v>-114184.1431</v>
      </c>
      <c r="V197" s="15">
        <f t="shared" si="33"/>
        <v>-39493.127</v>
      </c>
      <c r="W197" s="15">
        <f t="shared" si="33"/>
        <v>-922.46720000000005</v>
      </c>
      <c r="X197" s="15">
        <f t="shared" si="33"/>
        <v>-634.19620000000009</v>
      </c>
      <c r="Y197" s="15">
        <f t="shared" si="33"/>
        <v>-77689.034500000009</v>
      </c>
      <c r="Z197" s="15"/>
      <c r="AA197" s="15" t="s">
        <v>34</v>
      </c>
      <c r="AB197" s="15">
        <f>-$O197*AB$7</f>
        <v>-51653.567999999999</v>
      </c>
      <c r="AC197" s="15">
        <f t="shared" si="34"/>
        <v>-106562.3869</v>
      </c>
      <c r="AD197" s="15">
        <f t="shared" si="34"/>
        <v>-36856.973000000005</v>
      </c>
      <c r="AE197" s="15">
        <f t="shared" si="34"/>
        <v>-860.89280000000008</v>
      </c>
      <c r="AF197" s="15">
        <f t="shared" si="34"/>
        <v>-591.86380000000008</v>
      </c>
      <c r="AG197" s="15">
        <f t="shared" si="34"/>
        <v>-72503.315500000012</v>
      </c>
      <c r="AH197" s="27">
        <f>SUM(AB197:AG197)+O197</f>
        <v>0</v>
      </c>
    </row>
    <row r="198" spans="1:34" x14ac:dyDescent="0.25">
      <c r="A198" s="31" t="s">
        <v>277</v>
      </c>
      <c r="B198" s="31" t="s">
        <v>278</v>
      </c>
      <c r="C198" s="24">
        <v>1672986</v>
      </c>
      <c r="D198" s="24">
        <v>1953810</v>
      </c>
      <c r="E198" s="24">
        <v>2201560</v>
      </c>
      <c r="F198" s="24">
        <v>704739</v>
      </c>
      <c r="G198" s="24">
        <v>808552</v>
      </c>
      <c r="H198" s="24">
        <v>909695</v>
      </c>
      <c r="I198" s="24">
        <v>0</v>
      </c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0</v>
      </c>
      <c r="P198" s="24">
        <v>8251342</v>
      </c>
      <c r="Q198" s="24">
        <v>634719</v>
      </c>
      <c r="R198" s="15">
        <f>SUM(T198:Y198)+Q198</f>
        <v>0</v>
      </c>
      <c r="S198" s="15" t="s">
        <v>34</v>
      </c>
      <c r="T198" s="15">
        <f t="shared" si="33"/>
        <v>-121866.04800000001</v>
      </c>
      <c r="U198" s="15">
        <f t="shared" si="33"/>
        <v>-251412.19589999999</v>
      </c>
      <c r="V198" s="15">
        <f t="shared" si="33"/>
        <v>-86956.503000000012</v>
      </c>
      <c r="W198" s="15">
        <f t="shared" si="33"/>
        <v>-2031.1008000000002</v>
      </c>
      <c r="X198" s="15">
        <f t="shared" si="33"/>
        <v>-1396.3818000000001</v>
      </c>
      <c r="Y198" s="15">
        <f t="shared" si="33"/>
        <v>-171056.77050000001</v>
      </c>
      <c r="Z198" s="15"/>
      <c r="AA198" s="15" t="s">
        <v>34</v>
      </c>
      <c r="AB198" s="15">
        <f>-$O198*AB$7</f>
        <v>0</v>
      </c>
      <c r="AC198" s="15">
        <f t="shared" si="34"/>
        <v>0</v>
      </c>
      <c r="AD198" s="15">
        <f t="shared" si="34"/>
        <v>0</v>
      </c>
      <c r="AE198" s="15">
        <f t="shared" si="34"/>
        <v>0</v>
      </c>
      <c r="AF198" s="15">
        <f t="shared" si="34"/>
        <v>0</v>
      </c>
      <c r="AG198" s="15">
        <f t="shared" si="34"/>
        <v>0</v>
      </c>
      <c r="AH198" s="27"/>
    </row>
    <row r="199" spans="1:34" x14ac:dyDescent="0.25">
      <c r="A199" s="31" t="s">
        <v>279</v>
      </c>
      <c r="B199" s="31" t="s">
        <v>280</v>
      </c>
      <c r="C199" s="24">
        <v>0</v>
      </c>
      <c r="D199" s="24">
        <v>0</v>
      </c>
      <c r="E199" s="24">
        <v>0</v>
      </c>
      <c r="F199" s="24">
        <v>0</v>
      </c>
      <c r="G199" s="24">
        <v>148496</v>
      </c>
      <c r="H199" s="24">
        <v>117435</v>
      </c>
      <c r="I199" s="24">
        <v>70844</v>
      </c>
      <c r="J199" s="24">
        <v>39783</v>
      </c>
      <c r="K199" s="24">
        <v>16603</v>
      </c>
      <c r="L199" s="24">
        <v>0</v>
      </c>
      <c r="M199" s="24">
        <v>0</v>
      </c>
      <c r="N199" s="24">
        <v>0</v>
      </c>
      <c r="O199" s="24">
        <v>0</v>
      </c>
      <c r="P199" s="24">
        <v>393161</v>
      </c>
      <c r="Q199" s="24">
        <v>30243</v>
      </c>
      <c r="R199" s="15">
        <f>SUM(T199:Y199)+Q199</f>
        <v>0</v>
      </c>
      <c r="S199" s="15" t="s">
        <v>34</v>
      </c>
      <c r="T199" s="15">
        <f t="shared" si="33"/>
        <v>-5806.6559999999999</v>
      </c>
      <c r="U199" s="15">
        <f t="shared" si="33"/>
        <v>-11979.2523</v>
      </c>
      <c r="V199" s="15">
        <f t="shared" si="33"/>
        <v>-4143.2910000000002</v>
      </c>
      <c r="W199" s="15">
        <f t="shared" si="33"/>
        <v>-96.777600000000007</v>
      </c>
      <c r="X199" s="15">
        <f t="shared" si="33"/>
        <v>-66.534599999999998</v>
      </c>
      <c r="Y199" s="15">
        <f t="shared" si="33"/>
        <v>-8150.4885000000004</v>
      </c>
      <c r="Z199" s="15"/>
      <c r="AA199" s="15" t="s">
        <v>34</v>
      </c>
      <c r="AB199" s="15">
        <f>-$O199*AB$7</f>
        <v>0</v>
      </c>
      <c r="AC199" s="15">
        <f t="shared" si="34"/>
        <v>0</v>
      </c>
      <c r="AD199" s="15">
        <f t="shared" si="34"/>
        <v>0</v>
      </c>
      <c r="AE199" s="15">
        <f t="shared" si="34"/>
        <v>0</v>
      </c>
      <c r="AF199" s="15">
        <f t="shared" si="34"/>
        <v>0</v>
      </c>
      <c r="AG199" s="15">
        <f t="shared" si="34"/>
        <v>0</v>
      </c>
      <c r="AH199" s="27"/>
    </row>
    <row r="200" spans="1:34" x14ac:dyDescent="0.25">
      <c r="A200" s="35"/>
      <c r="B200" s="35"/>
      <c r="C200" s="36" t="s">
        <v>67</v>
      </c>
      <c r="D200" s="36" t="s">
        <v>67</v>
      </c>
      <c r="E200" s="36" t="s">
        <v>67</v>
      </c>
      <c r="F200" s="36" t="s">
        <v>67</v>
      </c>
      <c r="G200" s="36" t="s">
        <v>67</v>
      </c>
      <c r="H200" s="36" t="s">
        <v>67</v>
      </c>
      <c r="I200" s="36" t="s">
        <v>67</v>
      </c>
      <c r="J200" s="36" t="s">
        <v>67</v>
      </c>
      <c r="K200" s="36" t="s">
        <v>67</v>
      </c>
      <c r="L200" s="36" t="s">
        <v>67</v>
      </c>
      <c r="M200" s="36" t="s">
        <v>67</v>
      </c>
      <c r="N200" s="36" t="s">
        <v>67</v>
      </c>
      <c r="O200" s="36" t="s">
        <v>67</v>
      </c>
      <c r="P200" s="36" t="s">
        <v>67</v>
      </c>
      <c r="Q200" s="36" t="s">
        <v>67</v>
      </c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27"/>
    </row>
    <row r="201" spans="1:34" x14ac:dyDescent="0.25">
      <c r="A201" s="37" t="s">
        <v>281</v>
      </c>
      <c r="B201" s="38"/>
      <c r="C201" s="39">
        <v>2397390</v>
      </c>
      <c r="D201" s="39">
        <v>2736406</v>
      </c>
      <c r="E201" s="39">
        <v>2974539</v>
      </c>
      <c r="F201" s="39">
        <v>1755391</v>
      </c>
      <c r="G201" s="39">
        <v>2183193</v>
      </c>
      <c r="H201" s="39">
        <v>2359277</v>
      </c>
      <c r="I201" s="39">
        <v>1563648</v>
      </c>
      <c r="J201" s="39">
        <v>791000</v>
      </c>
      <c r="K201" s="39">
        <v>997153</v>
      </c>
      <c r="L201" s="39">
        <v>1113706</v>
      </c>
      <c r="M201" s="39">
        <v>1218737</v>
      </c>
      <c r="N201" s="39">
        <v>1414908</v>
      </c>
      <c r="O201" s="39">
        <v>743956</v>
      </c>
      <c r="P201" s="39">
        <v>22249303</v>
      </c>
      <c r="Q201" s="39">
        <v>1711485</v>
      </c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27"/>
    </row>
    <row r="202" spans="1:34" x14ac:dyDescent="0.25">
      <c r="A202" s="35"/>
      <c r="B202" s="35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27"/>
    </row>
    <row r="203" spans="1:34" x14ac:dyDescent="0.25">
      <c r="A203" s="37" t="s">
        <v>282</v>
      </c>
      <c r="B203" s="38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27"/>
    </row>
    <row r="204" spans="1:34" x14ac:dyDescent="0.25">
      <c r="A204" s="31" t="s">
        <v>283</v>
      </c>
      <c r="B204" s="31" t="s">
        <v>284</v>
      </c>
      <c r="C204" s="24">
        <v>154852</v>
      </c>
      <c r="D204" s="24">
        <v>154852</v>
      </c>
      <c r="E204" s="24">
        <v>154852</v>
      </c>
      <c r="F204" s="24">
        <v>154852</v>
      </c>
      <c r="G204" s="24">
        <v>154852</v>
      </c>
      <c r="H204" s="24">
        <v>154852</v>
      </c>
      <c r="I204" s="24">
        <v>154852</v>
      </c>
      <c r="J204" s="24">
        <v>154852</v>
      </c>
      <c r="K204" s="24">
        <v>154852</v>
      </c>
      <c r="L204" s="24">
        <v>154852</v>
      </c>
      <c r="M204" s="24">
        <v>154852</v>
      </c>
      <c r="N204" s="24">
        <v>154852</v>
      </c>
      <c r="O204" s="24">
        <v>154852</v>
      </c>
      <c r="P204" s="24">
        <v>2013076</v>
      </c>
      <c r="Q204" s="24">
        <v>154852</v>
      </c>
      <c r="R204" s="15">
        <f>SUM(T204:Y204)+Q204</f>
        <v>0</v>
      </c>
      <c r="S204" s="15" t="s">
        <v>34</v>
      </c>
      <c r="T204" s="15">
        <f t="shared" ref="T204:Y209" si="35">-$Q204*T$7</f>
        <v>-29731.583999999999</v>
      </c>
      <c r="U204" s="15">
        <f t="shared" si="35"/>
        <v>-61336.877200000003</v>
      </c>
      <c r="V204" s="15">
        <f t="shared" si="35"/>
        <v>-21214.724000000002</v>
      </c>
      <c r="W204" s="15">
        <f t="shared" si="35"/>
        <v>-495.52640000000002</v>
      </c>
      <c r="X204" s="15">
        <f t="shared" si="35"/>
        <v>-340.67440000000005</v>
      </c>
      <c r="Y204" s="15">
        <f t="shared" si="35"/>
        <v>-41732.614000000001</v>
      </c>
      <c r="Z204" s="15"/>
      <c r="AA204" s="15" t="s">
        <v>34</v>
      </c>
      <c r="AB204" s="15">
        <f t="shared" ref="AB204:AG209" si="36">-$O204*AB$7</f>
        <v>-29731.583999999999</v>
      </c>
      <c r="AC204" s="15">
        <f t="shared" si="36"/>
        <v>-61336.877200000003</v>
      </c>
      <c r="AD204" s="15">
        <f t="shared" si="36"/>
        <v>-21214.724000000002</v>
      </c>
      <c r="AE204" s="15">
        <f t="shared" si="36"/>
        <v>-495.52640000000002</v>
      </c>
      <c r="AF204" s="15">
        <f t="shared" si="36"/>
        <v>-340.67440000000005</v>
      </c>
      <c r="AG204" s="15">
        <f t="shared" si="36"/>
        <v>-41732.614000000001</v>
      </c>
      <c r="AH204" s="27">
        <f t="shared" ref="AH204:AH209" si="37">SUM(AB204:AG204)+O204</f>
        <v>0</v>
      </c>
    </row>
    <row r="205" spans="1:34" x14ac:dyDescent="0.25">
      <c r="A205" s="31" t="s">
        <v>285</v>
      </c>
      <c r="B205" s="31" t="s">
        <v>286</v>
      </c>
      <c r="C205" s="24">
        <v>159994</v>
      </c>
      <c r="D205" s="24">
        <v>160120</v>
      </c>
      <c r="E205" s="24">
        <v>160247</v>
      </c>
      <c r="F205" s="24">
        <v>160374</v>
      </c>
      <c r="G205" s="24">
        <v>160502</v>
      </c>
      <c r="H205" s="24">
        <v>160630</v>
      </c>
      <c r="I205" s="24">
        <v>160759</v>
      </c>
      <c r="J205" s="24">
        <v>160887</v>
      </c>
      <c r="K205" s="24">
        <v>161017</v>
      </c>
      <c r="L205" s="24">
        <v>161146</v>
      </c>
      <c r="M205" s="24">
        <v>161276</v>
      </c>
      <c r="N205" s="24">
        <v>161407</v>
      </c>
      <c r="O205" s="24">
        <v>161538</v>
      </c>
      <c r="P205" s="24">
        <v>2089897</v>
      </c>
      <c r="Q205" s="24">
        <v>160761</v>
      </c>
      <c r="R205" s="15">
        <f>SUM(T205:Y205)+Q205</f>
        <v>0</v>
      </c>
      <c r="S205" s="15" t="s">
        <v>34</v>
      </c>
      <c r="T205" s="15">
        <f t="shared" si="35"/>
        <v>-30866.112000000001</v>
      </c>
      <c r="U205" s="15">
        <f t="shared" si="35"/>
        <v>-63677.432099999998</v>
      </c>
      <c r="V205" s="15">
        <f t="shared" si="35"/>
        <v>-22024.257000000001</v>
      </c>
      <c r="W205" s="15">
        <f t="shared" si="35"/>
        <v>-514.43520000000001</v>
      </c>
      <c r="X205" s="15">
        <f t="shared" si="35"/>
        <v>-353.67420000000004</v>
      </c>
      <c r="Y205" s="15">
        <f t="shared" si="35"/>
        <v>-43325.089500000002</v>
      </c>
      <c r="Z205" s="15"/>
      <c r="AA205" s="15" t="s">
        <v>34</v>
      </c>
      <c r="AB205" s="15">
        <f t="shared" si="36"/>
        <v>-31015.296000000002</v>
      </c>
      <c r="AC205" s="15">
        <f t="shared" si="36"/>
        <v>-63985.201800000003</v>
      </c>
      <c r="AD205" s="15">
        <f t="shared" si="36"/>
        <v>-22130.706000000002</v>
      </c>
      <c r="AE205" s="15">
        <f t="shared" si="36"/>
        <v>-516.92160000000001</v>
      </c>
      <c r="AF205" s="15">
        <f t="shared" si="36"/>
        <v>-355.3836</v>
      </c>
      <c r="AG205" s="15">
        <f t="shared" si="36"/>
        <v>-43534.491000000002</v>
      </c>
      <c r="AH205" s="27">
        <f t="shared" si="37"/>
        <v>0</v>
      </c>
    </row>
    <row r="206" spans="1:34" x14ac:dyDescent="0.25">
      <c r="A206" s="31" t="s">
        <v>287</v>
      </c>
      <c r="B206" s="31" t="s">
        <v>288</v>
      </c>
      <c r="C206" s="24">
        <v>-9055</v>
      </c>
      <c r="D206" s="24">
        <v>-9055</v>
      </c>
      <c r="E206" s="24">
        <v>-9055</v>
      </c>
      <c r="F206" s="24">
        <v>-13143</v>
      </c>
      <c r="G206" s="24">
        <v>207446</v>
      </c>
      <c r="H206" s="24">
        <v>-9055</v>
      </c>
      <c r="I206" s="24">
        <v>-9055</v>
      </c>
      <c r="J206" s="24">
        <v>197245</v>
      </c>
      <c r="K206" s="24">
        <v>1473</v>
      </c>
      <c r="L206" s="24">
        <v>1473</v>
      </c>
      <c r="M206" s="24">
        <v>1473</v>
      </c>
      <c r="N206" s="24">
        <v>1250</v>
      </c>
      <c r="O206" s="24">
        <v>1081</v>
      </c>
      <c r="P206" s="24">
        <v>353025</v>
      </c>
      <c r="Q206" s="24">
        <v>27156</v>
      </c>
      <c r="R206" s="15">
        <f>SUM(T206:Y206)+Q206</f>
        <v>0</v>
      </c>
      <c r="S206" s="15" t="s">
        <v>34</v>
      </c>
      <c r="T206" s="15">
        <f t="shared" si="35"/>
        <v>-5213.9520000000002</v>
      </c>
      <c r="U206" s="15">
        <f t="shared" si="35"/>
        <v>-10756.491599999999</v>
      </c>
      <c r="V206" s="15">
        <f t="shared" si="35"/>
        <v>-3720.3720000000003</v>
      </c>
      <c r="W206" s="15">
        <f t="shared" si="35"/>
        <v>-86.899200000000008</v>
      </c>
      <c r="X206" s="15">
        <f t="shared" si="35"/>
        <v>-59.743200000000002</v>
      </c>
      <c r="Y206" s="15">
        <f t="shared" si="35"/>
        <v>-7318.5420000000004</v>
      </c>
      <c r="Z206" s="15"/>
      <c r="AA206" s="15" t="s">
        <v>34</v>
      </c>
      <c r="AB206" s="15">
        <f t="shared" si="36"/>
        <v>-207.55199999999999</v>
      </c>
      <c r="AC206" s="15">
        <f t="shared" si="36"/>
        <v>-428.1841</v>
      </c>
      <c r="AD206" s="15">
        <f t="shared" si="36"/>
        <v>-148.09700000000001</v>
      </c>
      <c r="AE206" s="15">
        <f t="shared" si="36"/>
        <v>-3.4592000000000001</v>
      </c>
      <c r="AF206" s="15">
        <f t="shared" si="36"/>
        <v>-2.3782000000000001</v>
      </c>
      <c r="AG206" s="15">
        <f t="shared" si="36"/>
        <v>-291.3295</v>
      </c>
      <c r="AH206" s="27">
        <f t="shared" si="37"/>
        <v>0</v>
      </c>
    </row>
    <row r="207" spans="1:34" x14ac:dyDescent="0.25">
      <c r="A207" s="31" t="s">
        <v>289</v>
      </c>
      <c r="B207" s="31" t="s">
        <v>290</v>
      </c>
      <c r="C207" s="24">
        <v>-10</v>
      </c>
      <c r="D207" s="24">
        <v>-10</v>
      </c>
      <c r="E207" s="24">
        <v>-10</v>
      </c>
      <c r="F207" s="24">
        <v>-10</v>
      </c>
      <c r="G207" s="24">
        <v>-2898</v>
      </c>
      <c r="H207" s="24">
        <v>-10</v>
      </c>
      <c r="I207" s="24">
        <v>-3</v>
      </c>
      <c r="J207" s="24">
        <v>94</v>
      </c>
      <c r="K207" s="24">
        <v>-3</v>
      </c>
      <c r="L207" s="24">
        <v>-3</v>
      </c>
      <c r="M207" s="24">
        <v>-10</v>
      </c>
      <c r="N207" s="24">
        <v>-10</v>
      </c>
      <c r="O207" s="24">
        <v>-10</v>
      </c>
      <c r="P207" s="24">
        <v>-2898</v>
      </c>
      <c r="Q207" s="24">
        <v>-223</v>
      </c>
      <c r="R207" s="15">
        <f>SUM(T207:Y207)+Q207</f>
        <v>0</v>
      </c>
      <c r="S207" s="15" t="s">
        <v>34</v>
      </c>
      <c r="T207" s="15">
        <f t="shared" si="35"/>
        <v>42.816000000000003</v>
      </c>
      <c r="U207" s="15">
        <f t="shared" si="35"/>
        <v>88.330300000000008</v>
      </c>
      <c r="V207" s="15">
        <f t="shared" si="35"/>
        <v>30.551000000000002</v>
      </c>
      <c r="W207" s="15">
        <f t="shared" si="35"/>
        <v>0.71360000000000001</v>
      </c>
      <c r="X207" s="15">
        <f t="shared" si="35"/>
        <v>0.49060000000000004</v>
      </c>
      <c r="Y207" s="15">
        <f t="shared" si="35"/>
        <v>60.098500000000001</v>
      </c>
      <c r="Z207" s="15"/>
      <c r="AA207" s="15" t="s">
        <v>34</v>
      </c>
      <c r="AB207" s="15">
        <f t="shared" si="36"/>
        <v>1.92</v>
      </c>
      <c r="AC207" s="15">
        <f t="shared" si="36"/>
        <v>3.9610000000000003</v>
      </c>
      <c r="AD207" s="15">
        <f t="shared" si="36"/>
        <v>1.37</v>
      </c>
      <c r="AE207" s="15">
        <f t="shared" si="36"/>
        <v>3.2000000000000001E-2</v>
      </c>
      <c r="AF207" s="15">
        <f t="shared" si="36"/>
        <v>2.2000000000000002E-2</v>
      </c>
      <c r="AG207" s="15">
        <f t="shared" si="36"/>
        <v>2.6950000000000003</v>
      </c>
      <c r="AH207" s="27">
        <f t="shared" si="37"/>
        <v>0</v>
      </c>
    </row>
    <row r="208" spans="1:34" x14ac:dyDescent="0.25">
      <c r="A208" s="31" t="s">
        <v>291</v>
      </c>
      <c r="B208" s="31" t="s">
        <v>292</v>
      </c>
      <c r="C208" s="24">
        <v>-17758</v>
      </c>
      <c r="D208" s="24">
        <v>-17758</v>
      </c>
      <c r="E208" s="24">
        <v>-17758</v>
      </c>
      <c r="F208" s="24">
        <v>-17758</v>
      </c>
      <c r="G208" s="24">
        <v>-17758</v>
      </c>
      <c r="H208" s="24">
        <v>-17758</v>
      </c>
      <c r="I208" s="24">
        <v>-17765</v>
      </c>
      <c r="J208" s="24">
        <v>-17696</v>
      </c>
      <c r="K208" s="24">
        <v>-17765</v>
      </c>
      <c r="L208" s="24">
        <v>-17765</v>
      </c>
      <c r="M208" s="24">
        <v>-17758</v>
      </c>
      <c r="N208" s="24">
        <v>-17758</v>
      </c>
      <c r="O208" s="24">
        <v>-9971</v>
      </c>
      <c r="P208" s="24">
        <v>-223027</v>
      </c>
      <c r="Q208" s="24">
        <v>-17156</v>
      </c>
      <c r="R208" s="15">
        <f>SUM(T208:Y208)+Q208</f>
        <v>0</v>
      </c>
      <c r="S208" s="15" t="s">
        <v>34</v>
      </c>
      <c r="T208" s="15">
        <f t="shared" si="35"/>
        <v>3293.9520000000002</v>
      </c>
      <c r="U208" s="15">
        <f t="shared" si="35"/>
        <v>6795.4916000000003</v>
      </c>
      <c r="V208" s="15">
        <f t="shared" si="35"/>
        <v>2350.3720000000003</v>
      </c>
      <c r="W208" s="15">
        <f t="shared" si="35"/>
        <v>54.8992</v>
      </c>
      <c r="X208" s="15">
        <f t="shared" si="35"/>
        <v>37.743200000000002</v>
      </c>
      <c r="Y208" s="15">
        <f t="shared" si="35"/>
        <v>4623.5420000000004</v>
      </c>
      <c r="Z208" s="15"/>
      <c r="AA208" s="15" t="s">
        <v>34</v>
      </c>
      <c r="AB208" s="15">
        <f t="shared" si="36"/>
        <v>1914.432</v>
      </c>
      <c r="AC208" s="15">
        <f t="shared" si="36"/>
        <v>3949.5131000000001</v>
      </c>
      <c r="AD208" s="15">
        <f t="shared" si="36"/>
        <v>1366.027</v>
      </c>
      <c r="AE208" s="15">
        <f t="shared" si="36"/>
        <v>31.907200000000003</v>
      </c>
      <c r="AF208" s="15">
        <f t="shared" si="36"/>
        <v>21.936200000000003</v>
      </c>
      <c r="AG208" s="15">
        <f t="shared" si="36"/>
        <v>2687.1845000000003</v>
      </c>
      <c r="AH208" s="27">
        <f t="shared" si="37"/>
        <v>0</v>
      </c>
    </row>
    <row r="209" spans="1:34" x14ac:dyDescent="0.25">
      <c r="A209" s="31" t="s">
        <v>293</v>
      </c>
      <c r="B209" s="31" t="s">
        <v>294</v>
      </c>
      <c r="C209" s="24">
        <v>0</v>
      </c>
      <c r="D209" s="24">
        <v>-257</v>
      </c>
      <c r="E209" s="24">
        <v>0</v>
      </c>
      <c r="F209" s="24">
        <v>0</v>
      </c>
      <c r="G209" s="24">
        <v>-223797</v>
      </c>
      <c r="H209" s="24">
        <v>0</v>
      </c>
      <c r="I209" s="24">
        <v>0</v>
      </c>
      <c r="J209" s="24">
        <v>433</v>
      </c>
      <c r="K209" s="24">
        <v>0</v>
      </c>
      <c r="L209" s="24">
        <v>0</v>
      </c>
      <c r="M209" s="24">
        <v>0</v>
      </c>
      <c r="N209" s="24">
        <v>0</v>
      </c>
      <c r="O209" s="24">
        <v>-1269</v>
      </c>
      <c r="P209" s="24">
        <v>-224890</v>
      </c>
      <c r="Q209" s="24">
        <v>-17299</v>
      </c>
      <c r="R209" s="15"/>
      <c r="S209" s="15" t="s">
        <v>34</v>
      </c>
      <c r="T209" s="15">
        <f t="shared" si="35"/>
        <v>3321.4079999999999</v>
      </c>
      <c r="U209" s="15">
        <f t="shared" si="35"/>
        <v>6852.1338999999998</v>
      </c>
      <c r="V209" s="15">
        <f t="shared" si="35"/>
        <v>2369.9630000000002</v>
      </c>
      <c r="W209" s="15">
        <f t="shared" si="35"/>
        <v>55.3568</v>
      </c>
      <c r="X209" s="15">
        <f t="shared" si="35"/>
        <v>38.0578</v>
      </c>
      <c r="Y209" s="15">
        <f t="shared" si="35"/>
        <v>4662.0805</v>
      </c>
      <c r="Z209" s="15"/>
      <c r="AA209" s="15" t="s">
        <v>34</v>
      </c>
      <c r="AB209" s="15">
        <f t="shared" si="36"/>
        <v>243.648</v>
      </c>
      <c r="AC209" s="15">
        <f t="shared" si="36"/>
        <v>502.65090000000004</v>
      </c>
      <c r="AD209" s="15">
        <f t="shared" si="36"/>
        <v>173.85300000000001</v>
      </c>
      <c r="AE209" s="15">
        <f t="shared" si="36"/>
        <v>4.0608000000000004</v>
      </c>
      <c r="AF209" s="15">
        <f t="shared" si="36"/>
        <v>2.7918000000000003</v>
      </c>
      <c r="AG209" s="15">
        <f t="shared" si="36"/>
        <v>341.99550000000005</v>
      </c>
      <c r="AH209" s="27">
        <f t="shared" si="37"/>
        <v>0</v>
      </c>
    </row>
    <row r="210" spans="1:34" x14ac:dyDescent="0.25">
      <c r="A210" s="35"/>
      <c r="B210" s="35"/>
      <c r="C210" s="36" t="s">
        <v>67</v>
      </c>
      <c r="D210" s="36" t="s">
        <v>67</v>
      </c>
      <c r="E210" s="36" t="s">
        <v>67</v>
      </c>
      <c r="F210" s="36" t="s">
        <v>67</v>
      </c>
      <c r="G210" s="36" t="s">
        <v>67</v>
      </c>
      <c r="H210" s="36" t="s">
        <v>67</v>
      </c>
      <c r="I210" s="36" t="s">
        <v>67</v>
      </c>
      <c r="J210" s="36" t="s">
        <v>67</v>
      </c>
      <c r="K210" s="36" t="s">
        <v>67</v>
      </c>
      <c r="L210" s="36" t="s">
        <v>67</v>
      </c>
      <c r="M210" s="36" t="s">
        <v>67</v>
      </c>
      <c r="N210" s="36" t="s">
        <v>67</v>
      </c>
      <c r="O210" s="36" t="s">
        <v>67</v>
      </c>
      <c r="P210" s="36" t="s">
        <v>67</v>
      </c>
      <c r="Q210" s="36" t="s">
        <v>67</v>
      </c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27"/>
    </row>
    <row r="211" spans="1:34" x14ac:dyDescent="0.25">
      <c r="A211" s="37" t="s">
        <v>295</v>
      </c>
      <c r="B211" s="38"/>
      <c r="C211" s="39">
        <v>288023</v>
      </c>
      <c r="D211" s="39">
        <v>287893</v>
      </c>
      <c r="E211" s="39">
        <v>288276</v>
      </c>
      <c r="F211" s="39">
        <v>284315</v>
      </c>
      <c r="G211" s="39">
        <v>278346</v>
      </c>
      <c r="H211" s="39">
        <v>288659</v>
      </c>
      <c r="I211" s="39">
        <v>288787</v>
      </c>
      <c r="J211" s="39">
        <v>495815</v>
      </c>
      <c r="K211" s="39">
        <v>299573</v>
      </c>
      <c r="L211" s="39">
        <v>299703</v>
      </c>
      <c r="M211" s="39">
        <v>299833</v>
      </c>
      <c r="N211" s="39">
        <v>299740</v>
      </c>
      <c r="O211" s="39">
        <v>306220</v>
      </c>
      <c r="P211" s="39">
        <v>4005183</v>
      </c>
      <c r="Q211" s="39">
        <v>308091</v>
      </c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27"/>
    </row>
    <row r="212" spans="1:34" x14ac:dyDescent="0.25">
      <c r="A212" s="35"/>
      <c r="B212" s="35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27"/>
    </row>
    <row r="213" spans="1:34" ht="15.75" x14ac:dyDescent="0.3">
      <c r="A213" s="56" t="s">
        <v>296</v>
      </c>
      <c r="B213" s="54"/>
      <c r="C213" s="55">
        <v>6866281</v>
      </c>
      <c r="D213" s="55">
        <v>8861392</v>
      </c>
      <c r="E213" s="55">
        <v>12909480</v>
      </c>
      <c r="F213" s="55">
        <v>9098702</v>
      </c>
      <c r="G213" s="55">
        <v>8461934</v>
      </c>
      <c r="H213" s="55">
        <v>9682223</v>
      </c>
      <c r="I213" s="55">
        <v>9807438</v>
      </c>
      <c r="J213" s="55">
        <v>7187085</v>
      </c>
      <c r="K213" s="55">
        <v>6247689</v>
      </c>
      <c r="L213" s="55">
        <v>10781701</v>
      </c>
      <c r="M213" s="55">
        <v>9285446</v>
      </c>
      <c r="N213" s="55">
        <v>5922323</v>
      </c>
      <c r="O213" s="55">
        <v>3779071</v>
      </c>
      <c r="P213" s="55">
        <v>108890765</v>
      </c>
      <c r="Q213" s="55">
        <v>8376213</v>
      </c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27"/>
    </row>
    <row r="214" spans="1:34" x14ac:dyDescent="0.25">
      <c r="A214" s="35"/>
      <c r="B214" s="35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27"/>
    </row>
    <row r="215" spans="1:34" ht="15.75" x14ac:dyDescent="0.3">
      <c r="A215" s="56" t="s">
        <v>297</v>
      </c>
      <c r="B215" s="54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27"/>
    </row>
    <row r="216" spans="1:34" x14ac:dyDescent="0.25">
      <c r="A216" s="37" t="s">
        <v>298</v>
      </c>
      <c r="B216" s="38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15"/>
      <c r="S216" s="15" t="s">
        <v>299</v>
      </c>
      <c r="T216" s="15"/>
      <c r="U216" s="15"/>
      <c r="V216" s="15"/>
      <c r="W216" s="15"/>
      <c r="X216" s="15"/>
      <c r="Y216" s="15"/>
      <c r="Z216" s="15"/>
      <c r="AA216" s="15" t="s">
        <v>299</v>
      </c>
      <c r="AB216" s="15"/>
      <c r="AC216" s="15"/>
      <c r="AD216" s="15"/>
      <c r="AE216" s="15"/>
      <c r="AF216" s="15"/>
      <c r="AG216" s="15"/>
      <c r="AH216" s="27">
        <f>SUM(AB216:AG216)+O216</f>
        <v>0</v>
      </c>
    </row>
    <row r="217" spans="1:34" x14ac:dyDescent="0.25">
      <c r="A217" s="57" t="s">
        <v>300</v>
      </c>
      <c r="B217" s="58" t="s">
        <v>301</v>
      </c>
      <c r="C217" s="59">
        <v>56547</v>
      </c>
      <c r="D217" s="59">
        <v>56547</v>
      </c>
      <c r="E217" s="59">
        <v>56547</v>
      </c>
      <c r="F217" s="59">
        <v>57651</v>
      </c>
      <c r="G217" s="59">
        <v>57651</v>
      </c>
      <c r="H217" s="59">
        <v>57651</v>
      </c>
      <c r="I217" s="59">
        <v>58755</v>
      </c>
      <c r="J217" s="24">
        <v>58755</v>
      </c>
      <c r="K217" s="24">
        <v>58755</v>
      </c>
      <c r="L217" s="24">
        <v>137747</v>
      </c>
      <c r="M217" s="24">
        <v>137747</v>
      </c>
      <c r="N217" s="24">
        <v>137747</v>
      </c>
      <c r="O217" s="24">
        <v>478666</v>
      </c>
      <c r="P217" s="24">
        <v>1410765</v>
      </c>
      <c r="Q217" s="24">
        <v>108520</v>
      </c>
      <c r="R217" s="15">
        <f t="shared" ref="R217:R229" si="38">SUM(T217:Y217)+Q217</f>
        <v>-2.1704000000027008</v>
      </c>
      <c r="S217" s="15" t="s">
        <v>13</v>
      </c>
      <c r="T217" s="60">
        <f t="shared" ref="T217:Y224" si="39">-$Q217*T$3</f>
        <v>-17596.518</v>
      </c>
      <c r="U217" s="60">
        <f t="shared" si="39"/>
        <v>-42508.369200000001</v>
      </c>
      <c r="V217" s="60">
        <f t="shared" si="39"/>
        <v>-19954.657599999999</v>
      </c>
      <c r="W217" s="60">
        <f t="shared" si="39"/>
        <v>-385.24600000000004</v>
      </c>
      <c r="X217" s="60">
        <f t="shared" si="39"/>
        <v>-120.45720000000001</v>
      </c>
      <c r="Y217" s="60">
        <f t="shared" si="39"/>
        <v>-27956.922400000003</v>
      </c>
      <c r="Z217" s="15"/>
      <c r="AA217" s="15" t="s">
        <v>13</v>
      </c>
      <c r="AB217" s="60">
        <f t="shared" ref="AB217:AG224" si="40">-$O217*AB$3</f>
        <v>-77615.691899999991</v>
      </c>
      <c r="AC217" s="60">
        <v>23</v>
      </c>
      <c r="AD217" s="60">
        <f t="shared" si="40"/>
        <v>-88017.10407999999</v>
      </c>
      <c r="AE217" s="60">
        <f t="shared" si="40"/>
        <v>-1699.2643</v>
      </c>
      <c r="AF217" s="60">
        <f t="shared" si="40"/>
        <v>-531.3192600000001</v>
      </c>
      <c r="AG217" s="60">
        <f t="shared" si="40"/>
        <v>-123313.93492000001</v>
      </c>
      <c r="AH217" s="27">
        <f>SUM(AB217:AG217)+O217</f>
        <v>187511.68553999998</v>
      </c>
    </row>
    <row r="218" spans="1:34" x14ac:dyDescent="0.25">
      <c r="A218" s="31" t="s">
        <v>302</v>
      </c>
      <c r="B218" s="31" t="s">
        <v>303</v>
      </c>
      <c r="C218" s="24">
        <v>107255</v>
      </c>
      <c r="D218" s="24">
        <v>107255</v>
      </c>
      <c r="E218" s="24">
        <v>107255</v>
      </c>
      <c r="F218" s="24">
        <v>297336</v>
      </c>
      <c r="G218" s="24">
        <v>297336</v>
      </c>
      <c r="H218" s="24">
        <v>297336</v>
      </c>
      <c r="I218" s="24">
        <v>461424</v>
      </c>
      <c r="J218" s="24">
        <v>461424</v>
      </c>
      <c r="K218" s="24">
        <v>461424</v>
      </c>
      <c r="L218" s="24">
        <v>436546</v>
      </c>
      <c r="M218" s="24">
        <v>436546</v>
      </c>
      <c r="N218" s="24">
        <v>436546</v>
      </c>
      <c r="O218" s="24">
        <v>-645706</v>
      </c>
      <c r="P218" s="24">
        <v>3261979</v>
      </c>
      <c r="Q218" s="24">
        <v>250921</v>
      </c>
      <c r="R218" s="15">
        <f t="shared" si="38"/>
        <v>-5.0184199999785051</v>
      </c>
      <c r="S218" s="15" t="s">
        <v>13</v>
      </c>
      <c r="T218" s="60">
        <f t="shared" si="39"/>
        <v>-40686.840149999996</v>
      </c>
      <c r="U218" s="60">
        <f t="shared" si="39"/>
        <v>-98288.264909999998</v>
      </c>
      <c r="V218" s="60">
        <f t="shared" si="39"/>
        <v>-46139.353479999998</v>
      </c>
      <c r="W218" s="60">
        <f t="shared" si="39"/>
        <v>-890.76955000000009</v>
      </c>
      <c r="X218" s="60">
        <f t="shared" si="39"/>
        <v>-278.52231</v>
      </c>
      <c r="Y218" s="60">
        <f t="shared" si="39"/>
        <v>-64642.268020000003</v>
      </c>
      <c r="Z218" s="15"/>
      <c r="AA218" s="15" t="s">
        <v>13</v>
      </c>
      <c r="AB218" s="60">
        <f t="shared" si="40"/>
        <v>104701.2279</v>
      </c>
      <c r="AC218" s="60">
        <f t="shared" si="40"/>
        <v>252929.49726</v>
      </c>
      <c r="AD218" s="60">
        <f t="shared" si="40"/>
        <v>118732.41927999999</v>
      </c>
      <c r="AE218" s="60">
        <f t="shared" si="40"/>
        <v>2292.2563</v>
      </c>
      <c r="AF218" s="60">
        <f t="shared" si="40"/>
        <v>716.7336600000001</v>
      </c>
      <c r="AG218" s="60">
        <f t="shared" si="40"/>
        <v>166346.77972000002</v>
      </c>
      <c r="AH218" s="27"/>
    </row>
    <row r="219" spans="1:34" x14ac:dyDescent="0.25">
      <c r="A219" s="31" t="s">
        <v>304</v>
      </c>
      <c r="B219" s="31" t="s">
        <v>305</v>
      </c>
      <c r="C219" s="24">
        <v>15672</v>
      </c>
      <c r="D219" s="24">
        <v>15672</v>
      </c>
      <c r="E219" s="24">
        <v>15672</v>
      </c>
      <c r="F219" s="24">
        <v>15978</v>
      </c>
      <c r="G219" s="24">
        <v>15978</v>
      </c>
      <c r="H219" s="24">
        <v>15978</v>
      </c>
      <c r="I219" s="24">
        <v>16284</v>
      </c>
      <c r="J219" s="24">
        <v>16284</v>
      </c>
      <c r="K219" s="24">
        <v>16284</v>
      </c>
      <c r="L219" s="24">
        <v>38176</v>
      </c>
      <c r="M219" s="24">
        <v>38176</v>
      </c>
      <c r="N219" s="24">
        <v>38176</v>
      </c>
      <c r="O219" s="24">
        <v>132661</v>
      </c>
      <c r="P219" s="24">
        <v>390990</v>
      </c>
      <c r="Q219" s="24">
        <v>30076</v>
      </c>
      <c r="R219" s="15">
        <f t="shared" si="38"/>
        <v>-0.60152000000016415</v>
      </c>
      <c r="S219" s="15" t="s">
        <v>13</v>
      </c>
      <c r="T219" s="60">
        <f t="shared" si="39"/>
        <v>-4876.8233999999993</v>
      </c>
      <c r="U219" s="60">
        <f t="shared" si="39"/>
        <v>-11781.069960000001</v>
      </c>
      <c r="V219" s="60">
        <f t="shared" si="39"/>
        <v>-5530.3748799999994</v>
      </c>
      <c r="W219" s="60">
        <f t="shared" si="39"/>
        <v>-106.7698</v>
      </c>
      <c r="X219" s="60">
        <f t="shared" si="39"/>
        <v>-33.384360000000001</v>
      </c>
      <c r="Y219" s="60">
        <f t="shared" si="39"/>
        <v>-7748.1791200000007</v>
      </c>
      <c r="Z219" s="15"/>
      <c r="AA219" s="15" t="s">
        <v>13</v>
      </c>
      <c r="AB219" s="60">
        <f t="shared" si="40"/>
        <v>-21510.98115</v>
      </c>
      <c r="AC219" s="60">
        <f t="shared" si="40"/>
        <v>-51964.640310000003</v>
      </c>
      <c r="AD219" s="60">
        <f t="shared" si="40"/>
        <v>-24393.704679999999</v>
      </c>
      <c r="AE219" s="60">
        <f t="shared" si="40"/>
        <v>-470.94655</v>
      </c>
      <c r="AF219" s="60">
        <f t="shared" si="40"/>
        <v>-147.25371000000001</v>
      </c>
      <c r="AG219" s="60">
        <f t="shared" si="40"/>
        <v>-34176.126820000005</v>
      </c>
      <c r="AH219" s="27">
        <f t="shared" ref="AH219:AH229" si="41">SUM(AB219:AG219)+O219</f>
        <v>-2.6532199999783188</v>
      </c>
    </row>
    <row r="220" spans="1:34" x14ac:dyDescent="0.25">
      <c r="A220" s="31" t="s">
        <v>306</v>
      </c>
      <c r="B220" s="31" t="s">
        <v>307</v>
      </c>
      <c r="C220" s="24">
        <v>29726</v>
      </c>
      <c r="D220" s="24">
        <v>29726</v>
      </c>
      <c r="E220" s="24">
        <v>29726</v>
      </c>
      <c r="F220" s="24">
        <v>82406</v>
      </c>
      <c r="G220" s="24">
        <v>82406</v>
      </c>
      <c r="H220" s="24">
        <v>82406</v>
      </c>
      <c r="I220" s="24">
        <v>127883</v>
      </c>
      <c r="J220" s="24">
        <v>127883</v>
      </c>
      <c r="K220" s="24">
        <v>127883</v>
      </c>
      <c r="L220" s="24">
        <v>120988</v>
      </c>
      <c r="M220" s="24">
        <v>120988</v>
      </c>
      <c r="N220" s="24">
        <v>120988</v>
      </c>
      <c r="O220" s="24">
        <v>-178954</v>
      </c>
      <c r="P220" s="24">
        <v>904053</v>
      </c>
      <c r="Q220" s="24">
        <v>69543</v>
      </c>
      <c r="R220" s="15">
        <f t="shared" si="38"/>
        <v>-1.3908599999995204</v>
      </c>
      <c r="S220" s="15" t="s">
        <v>13</v>
      </c>
      <c r="T220" s="60">
        <f t="shared" si="39"/>
        <v>-11276.397449999999</v>
      </c>
      <c r="U220" s="60">
        <f t="shared" si="39"/>
        <v>-27240.688529999999</v>
      </c>
      <c r="V220" s="60">
        <f t="shared" si="39"/>
        <v>-12787.56684</v>
      </c>
      <c r="W220" s="60">
        <f t="shared" si="39"/>
        <v>-246.87765000000002</v>
      </c>
      <c r="X220" s="60">
        <f t="shared" si="39"/>
        <v>-77.192730000000012</v>
      </c>
      <c r="Y220" s="60">
        <f t="shared" si="39"/>
        <v>-17915.667660000003</v>
      </c>
      <c r="Z220" s="15"/>
      <c r="AA220" s="15" t="s">
        <v>13</v>
      </c>
      <c r="AB220" s="60">
        <f t="shared" si="40"/>
        <v>29017.391099999997</v>
      </c>
      <c r="AC220" s="60">
        <f t="shared" si="40"/>
        <v>70098.071339999995</v>
      </c>
      <c r="AD220" s="60">
        <f t="shared" si="40"/>
        <v>32906.061519999996</v>
      </c>
      <c r="AE220" s="60">
        <f t="shared" si="40"/>
        <v>635.2867</v>
      </c>
      <c r="AF220" s="60">
        <f t="shared" si="40"/>
        <v>198.63894000000002</v>
      </c>
      <c r="AG220" s="60">
        <f t="shared" si="40"/>
        <v>46102.129480000003</v>
      </c>
      <c r="AH220" s="27">
        <f t="shared" si="41"/>
        <v>3.5790799999958836</v>
      </c>
    </row>
    <row r="221" spans="1:34" x14ac:dyDescent="0.25">
      <c r="A221" s="31" t="s">
        <v>308</v>
      </c>
      <c r="B221" s="31" t="s">
        <v>309</v>
      </c>
      <c r="C221" s="24">
        <v>-544432</v>
      </c>
      <c r="D221" s="24">
        <v>-544432</v>
      </c>
      <c r="E221" s="24">
        <v>-544432</v>
      </c>
      <c r="F221" s="24">
        <v>-544432</v>
      </c>
      <c r="G221" s="24">
        <v>-544432</v>
      </c>
      <c r="H221" s="24">
        <v>-544432</v>
      </c>
      <c r="I221" s="24">
        <v>-544432</v>
      </c>
      <c r="J221" s="24">
        <v>-544432</v>
      </c>
      <c r="K221" s="24">
        <v>-544432</v>
      </c>
      <c r="L221" s="24">
        <v>-544432</v>
      </c>
      <c r="M221" s="24">
        <v>-544432</v>
      </c>
      <c r="N221" s="24">
        <v>-544432</v>
      </c>
      <c r="O221" s="24">
        <v>0</v>
      </c>
      <c r="P221" s="24">
        <v>-6533184</v>
      </c>
      <c r="Q221" s="24">
        <v>-502553</v>
      </c>
      <c r="R221" s="15">
        <f t="shared" si="38"/>
        <v>10.051060000027064</v>
      </c>
      <c r="S221" s="15" t="s">
        <v>13</v>
      </c>
      <c r="T221" s="60">
        <f t="shared" si="39"/>
        <v>81488.968949999995</v>
      </c>
      <c r="U221" s="60">
        <f t="shared" si="39"/>
        <v>196855.03563</v>
      </c>
      <c r="V221" s="60">
        <f t="shared" si="39"/>
        <v>92409.445639999991</v>
      </c>
      <c r="W221" s="60">
        <f t="shared" si="39"/>
        <v>1784.0631500000002</v>
      </c>
      <c r="X221" s="60">
        <f t="shared" si="39"/>
        <v>557.83383000000003</v>
      </c>
      <c r="Y221" s="60">
        <f t="shared" si="39"/>
        <v>129467.70386000001</v>
      </c>
      <c r="Z221" s="15"/>
      <c r="AA221" s="15" t="s">
        <v>13</v>
      </c>
      <c r="AB221" s="60">
        <f t="shared" si="40"/>
        <v>0</v>
      </c>
      <c r="AC221" s="60">
        <f t="shared" si="40"/>
        <v>0</v>
      </c>
      <c r="AD221" s="60">
        <f t="shared" si="40"/>
        <v>0</v>
      </c>
      <c r="AE221" s="60">
        <f t="shared" si="40"/>
        <v>0</v>
      </c>
      <c r="AF221" s="60">
        <f t="shared" si="40"/>
        <v>0</v>
      </c>
      <c r="AG221" s="60">
        <f t="shared" si="40"/>
        <v>0</v>
      </c>
      <c r="AH221" s="27">
        <f t="shared" si="41"/>
        <v>0</v>
      </c>
    </row>
    <row r="222" spans="1:34" x14ac:dyDescent="0.25">
      <c r="A222" s="31" t="s">
        <v>310</v>
      </c>
      <c r="B222" s="31" t="s">
        <v>311</v>
      </c>
      <c r="C222" s="24">
        <v>556790</v>
      </c>
      <c r="D222" s="24">
        <v>556790</v>
      </c>
      <c r="E222" s="24">
        <v>556790</v>
      </c>
      <c r="F222" s="24">
        <v>556790</v>
      </c>
      <c r="G222" s="24">
        <v>556790</v>
      </c>
      <c r="H222" s="24">
        <v>556790</v>
      </c>
      <c r="I222" s="24">
        <v>556790</v>
      </c>
      <c r="J222" s="24">
        <v>556790</v>
      </c>
      <c r="K222" s="24">
        <v>556790</v>
      </c>
      <c r="L222" s="24">
        <v>556790</v>
      </c>
      <c r="M222" s="24">
        <v>556790</v>
      </c>
      <c r="N222" s="24">
        <v>556790</v>
      </c>
      <c r="O222" s="24">
        <v>0</v>
      </c>
      <c r="P222" s="24">
        <v>6681480</v>
      </c>
      <c r="Q222" s="24">
        <v>513960</v>
      </c>
      <c r="R222" s="15">
        <f t="shared" si="38"/>
        <v>-10.279200000048149</v>
      </c>
      <c r="S222" s="15" t="s">
        <v>13</v>
      </c>
      <c r="T222" s="60">
        <f t="shared" si="39"/>
        <v>-83338.614000000001</v>
      </c>
      <c r="U222" s="60">
        <f t="shared" si="39"/>
        <v>-201323.27160000001</v>
      </c>
      <c r="V222" s="60">
        <f t="shared" si="39"/>
        <v>-94506.964799999987</v>
      </c>
      <c r="W222" s="60">
        <f t="shared" si="39"/>
        <v>-1824.558</v>
      </c>
      <c r="X222" s="60">
        <f t="shared" si="39"/>
        <v>-570.49560000000008</v>
      </c>
      <c r="Y222" s="60">
        <f t="shared" si="39"/>
        <v>-132406.37520000001</v>
      </c>
      <c r="Z222" s="15"/>
      <c r="AA222" s="15" t="s">
        <v>13</v>
      </c>
      <c r="AB222" s="60">
        <f t="shared" si="40"/>
        <v>0</v>
      </c>
      <c r="AC222" s="60">
        <f t="shared" si="40"/>
        <v>0</v>
      </c>
      <c r="AD222" s="60">
        <f t="shared" si="40"/>
        <v>0</v>
      </c>
      <c r="AE222" s="60">
        <f t="shared" si="40"/>
        <v>0</v>
      </c>
      <c r="AF222" s="60">
        <f t="shared" si="40"/>
        <v>0</v>
      </c>
      <c r="AG222" s="60">
        <f t="shared" si="40"/>
        <v>0</v>
      </c>
      <c r="AH222" s="27">
        <f t="shared" si="41"/>
        <v>0</v>
      </c>
    </row>
    <row r="223" spans="1:34" x14ac:dyDescent="0.25">
      <c r="A223" s="31" t="s">
        <v>312</v>
      </c>
      <c r="B223" s="31" t="s">
        <v>313</v>
      </c>
      <c r="C223" s="24">
        <v>1196</v>
      </c>
      <c r="D223" s="24">
        <v>1196</v>
      </c>
      <c r="E223" s="24">
        <v>1196</v>
      </c>
      <c r="F223" s="24">
        <v>1196</v>
      </c>
      <c r="G223" s="24">
        <v>1196</v>
      </c>
      <c r="H223" s="24">
        <v>1196</v>
      </c>
      <c r="I223" s="24">
        <v>1196</v>
      </c>
      <c r="J223" s="24">
        <v>1196</v>
      </c>
      <c r="K223" s="24">
        <v>1196</v>
      </c>
      <c r="L223" s="24">
        <v>1196</v>
      </c>
      <c r="M223" s="24">
        <v>1196</v>
      </c>
      <c r="N223" s="24">
        <v>1196</v>
      </c>
      <c r="O223" s="24">
        <v>0</v>
      </c>
      <c r="P223" s="24">
        <v>14352</v>
      </c>
      <c r="Q223" s="24">
        <v>1104</v>
      </c>
      <c r="R223" s="15">
        <f t="shared" si="38"/>
        <v>-2.2080000000187283E-2</v>
      </c>
      <c r="S223" s="15" t="s">
        <v>13</v>
      </c>
      <c r="T223" s="60">
        <f>-$Q223*T$3</f>
        <v>-179.0136</v>
      </c>
      <c r="U223" s="60">
        <f t="shared" si="39"/>
        <v>-432.44783999999999</v>
      </c>
      <c r="V223" s="60">
        <f t="shared" si="39"/>
        <v>-203.00351999999998</v>
      </c>
      <c r="W223" s="60">
        <f t="shared" si="39"/>
        <v>-3.9192</v>
      </c>
      <c r="X223" s="60">
        <f t="shared" si="39"/>
        <v>-1.2254400000000001</v>
      </c>
      <c r="Y223" s="60">
        <f t="shared" si="39"/>
        <v>-284.41248000000002</v>
      </c>
      <c r="Z223" s="15"/>
      <c r="AA223" s="15" t="s">
        <v>13</v>
      </c>
      <c r="AB223" s="60">
        <f>-$O223*AB$3</f>
        <v>0</v>
      </c>
      <c r="AC223" s="60">
        <f t="shared" si="40"/>
        <v>0</v>
      </c>
      <c r="AD223" s="60">
        <f t="shared" si="40"/>
        <v>0</v>
      </c>
      <c r="AE223" s="60">
        <f t="shared" si="40"/>
        <v>0</v>
      </c>
      <c r="AF223" s="60">
        <f t="shared" si="40"/>
        <v>0</v>
      </c>
      <c r="AG223" s="60">
        <f t="shared" si="40"/>
        <v>0</v>
      </c>
      <c r="AH223" s="27">
        <f t="shared" si="41"/>
        <v>0</v>
      </c>
    </row>
    <row r="224" spans="1:34" x14ac:dyDescent="0.25">
      <c r="A224" s="31" t="s">
        <v>314</v>
      </c>
      <c r="B224" s="31" t="s">
        <v>315</v>
      </c>
      <c r="C224" s="24">
        <v>1796</v>
      </c>
      <c r="D224" s="24">
        <v>1796</v>
      </c>
      <c r="E224" s="24">
        <v>1796</v>
      </c>
      <c r="F224" s="24">
        <v>1796</v>
      </c>
      <c r="G224" s="24">
        <v>1796</v>
      </c>
      <c r="H224" s="24">
        <v>1796</v>
      </c>
      <c r="I224" s="24">
        <v>1796</v>
      </c>
      <c r="J224" s="24">
        <v>1796</v>
      </c>
      <c r="K224" s="24">
        <v>1796</v>
      </c>
      <c r="L224" s="24">
        <v>1796</v>
      </c>
      <c r="M224" s="24">
        <v>1796</v>
      </c>
      <c r="N224" s="24">
        <v>1796</v>
      </c>
      <c r="O224" s="24">
        <v>0</v>
      </c>
      <c r="P224" s="24">
        <v>21552</v>
      </c>
      <c r="Q224" s="24">
        <v>1658</v>
      </c>
      <c r="R224" s="15">
        <f t="shared" si="38"/>
        <v>-3.3159999999952561E-2</v>
      </c>
      <c r="S224" s="15" t="s">
        <v>13</v>
      </c>
      <c r="T224" s="60">
        <f>-$Q224*T$3</f>
        <v>-268.84469999999999</v>
      </c>
      <c r="U224" s="60">
        <f t="shared" si="39"/>
        <v>-649.45518000000004</v>
      </c>
      <c r="V224" s="60">
        <f t="shared" si="39"/>
        <v>-304.87304</v>
      </c>
      <c r="W224" s="60">
        <f t="shared" si="39"/>
        <v>-5.8859000000000004</v>
      </c>
      <c r="X224" s="60">
        <f t="shared" si="39"/>
        <v>-1.8403800000000001</v>
      </c>
      <c r="Y224" s="60">
        <f t="shared" si="39"/>
        <v>-427.13396</v>
      </c>
      <c r="Z224" s="15"/>
      <c r="AA224" s="15" t="s">
        <v>13</v>
      </c>
      <c r="AB224" s="60">
        <f>-$O224*AB$3</f>
        <v>0</v>
      </c>
      <c r="AC224" s="60">
        <f t="shared" si="40"/>
        <v>0</v>
      </c>
      <c r="AD224" s="60">
        <f t="shared" si="40"/>
        <v>0</v>
      </c>
      <c r="AE224" s="60">
        <f t="shared" si="40"/>
        <v>0</v>
      </c>
      <c r="AF224" s="60">
        <f t="shared" si="40"/>
        <v>0</v>
      </c>
      <c r="AG224" s="60">
        <f t="shared" si="40"/>
        <v>0</v>
      </c>
      <c r="AH224" s="27">
        <f t="shared" si="41"/>
        <v>0</v>
      </c>
    </row>
    <row r="225" spans="1:34" x14ac:dyDescent="0.25">
      <c r="A225" s="31" t="s">
        <v>316</v>
      </c>
      <c r="B225" s="31" t="s">
        <v>317</v>
      </c>
      <c r="C225" s="24">
        <v>-3559</v>
      </c>
      <c r="D225" s="24">
        <v>-3559</v>
      </c>
      <c r="E225" s="24">
        <v>-3559</v>
      </c>
      <c r="F225" s="24">
        <v>-3559</v>
      </c>
      <c r="G225" s="24">
        <v>-3559</v>
      </c>
      <c r="H225" s="24">
        <v>-3559</v>
      </c>
      <c r="I225" s="24">
        <v>-3559</v>
      </c>
      <c r="J225" s="24">
        <v>-3559</v>
      </c>
      <c r="K225" s="24">
        <v>-3559</v>
      </c>
      <c r="L225" s="24">
        <v>-3559</v>
      </c>
      <c r="M225" s="24">
        <v>-3559</v>
      </c>
      <c r="N225" s="24">
        <v>-3559</v>
      </c>
      <c r="O225" s="24">
        <v>0</v>
      </c>
      <c r="P225" s="24">
        <v>-42708</v>
      </c>
      <c r="Q225" s="24">
        <v>-3285</v>
      </c>
      <c r="R225" s="15">
        <f t="shared" si="38"/>
        <v>6.5700000000106229E-2</v>
      </c>
      <c r="S225" s="15" t="s">
        <v>13</v>
      </c>
      <c r="T225" s="60">
        <f t="shared" ref="T225:Y232" si="42">-$Q225*T$3</f>
        <v>532.66274999999996</v>
      </c>
      <c r="U225" s="60">
        <f t="shared" si="42"/>
        <v>1286.7673500000001</v>
      </c>
      <c r="V225" s="60">
        <f t="shared" si="42"/>
        <v>604.04579999999999</v>
      </c>
      <c r="W225" s="60">
        <f t="shared" si="42"/>
        <v>11.661750000000001</v>
      </c>
      <c r="X225" s="60">
        <f t="shared" si="42"/>
        <v>3.6463500000000004</v>
      </c>
      <c r="Y225" s="60">
        <f t="shared" si="42"/>
        <v>846.2817</v>
      </c>
      <c r="Z225" s="15"/>
      <c r="AA225" s="15" t="s">
        <v>13</v>
      </c>
      <c r="AB225" s="60">
        <f t="shared" ref="AB225:AG232" si="43">-$O225*AB$3</f>
        <v>0</v>
      </c>
      <c r="AC225" s="60">
        <f t="shared" si="43"/>
        <v>0</v>
      </c>
      <c r="AD225" s="60">
        <f t="shared" si="43"/>
        <v>0</v>
      </c>
      <c r="AE225" s="60">
        <f t="shared" si="43"/>
        <v>0</v>
      </c>
      <c r="AF225" s="60">
        <f t="shared" si="43"/>
        <v>0</v>
      </c>
      <c r="AG225" s="60">
        <f t="shared" si="43"/>
        <v>0</v>
      </c>
      <c r="AH225" s="27">
        <f t="shared" si="41"/>
        <v>0</v>
      </c>
    </row>
    <row r="226" spans="1:34" x14ac:dyDescent="0.25">
      <c r="A226" s="31" t="s">
        <v>318</v>
      </c>
      <c r="B226" s="31" t="s">
        <v>319</v>
      </c>
      <c r="C226" s="24">
        <v>1483</v>
      </c>
      <c r="D226" s="24">
        <v>1483</v>
      </c>
      <c r="E226" s="24">
        <v>1483</v>
      </c>
      <c r="F226" s="24">
        <v>1483</v>
      </c>
      <c r="G226" s="24">
        <v>1483</v>
      </c>
      <c r="H226" s="24">
        <v>1483</v>
      </c>
      <c r="I226" s="24">
        <v>1483</v>
      </c>
      <c r="J226" s="24">
        <v>1483</v>
      </c>
      <c r="K226" s="24">
        <v>1483</v>
      </c>
      <c r="L226" s="24">
        <v>1483</v>
      </c>
      <c r="M226" s="24">
        <v>1483</v>
      </c>
      <c r="N226" s="24">
        <v>1483</v>
      </c>
      <c r="O226" s="24">
        <v>0</v>
      </c>
      <c r="P226" s="24">
        <v>17796</v>
      </c>
      <c r="Q226" s="24">
        <v>1369</v>
      </c>
      <c r="R226" s="15">
        <f t="shared" si="38"/>
        <v>-2.7379999999993743E-2</v>
      </c>
      <c r="S226" s="15" t="s">
        <v>13</v>
      </c>
      <c r="T226" s="60">
        <f t="shared" si="42"/>
        <v>-221.98334999999997</v>
      </c>
      <c r="U226" s="60">
        <f t="shared" si="42"/>
        <v>-536.25099</v>
      </c>
      <c r="V226" s="60">
        <f t="shared" si="42"/>
        <v>-251.73172</v>
      </c>
      <c r="W226" s="60">
        <f t="shared" si="42"/>
        <v>-4.8599500000000004</v>
      </c>
      <c r="X226" s="60">
        <f t="shared" si="42"/>
        <v>-1.5195900000000002</v>
      </c>
      <c r="Y226" s="60">
        <f t="shared" si="42"/>
        <v>-352.68178</v>
      </c>
      <c r="Z226" s="15"/>
      <c r="AA226" s="15" t="s">
        <v>13</v>
      </c>
      <c r="AB226" s="60">
        <f t="shared" si="43"/>
        <v>0</v>
      </c>
      <c r="AC226" s="60">
        <f t="shared" si="43"/>
        <v>0</v>
      </c>
      <c r="AD226" s="60">
        <f t="shared" si="43"/>
        <v>0</v>
      </c>
      <c r="AE226" s="60">
        <f t="shared" si="43"/>
        <v>0</v>
      </c>
      <c r="AF226" s="60">
        <f t="shared" si="43"/>
        <v>0</v>
      </c>
      <c r="AG226" s="60">
        <f t="shared" si="43"/>
        <v>0</v>
      </c>
      <c r="AH226" s="27">
        <f t="shared" si="41"/>
        <v>0</v>
      </c>
    </row>
    <row r="227" spans="1:34" x14ac:dyDescent="0.25">
      <c r="A227" s="31" t="s">
        <v>320</v>
      </c>
      <c r="B227" s="31" t="s">
        <v>321</v>
      </c>
      <c r="C227" s="24">
        <v>-1022941</v>
      </c>
      <c r="D227" s="24">
        <v>-1022941</v>
      </c>
      <c r="E227" s="24">
        <v>-1022941</v>
      </c>
      <c r="F227" s="24">
        <v>-1015465</v>
      </c>
      <c r="G227" s="24">
        <v>-1015465</v>
      </c>
      <c r="H227" s="24">
        <v>-1015465</v>
      </c>
      <c r="I227" s="24">
        <v>-1007989</v>
      </c>
      <c r="J227" s="24">
        <v>-1007989</v>
      </c>
      <c r="K227" s="24">
        <v>-1007989</v>
      </c>
      <c r="L227" s="24">
        <v>-1000513</v>
      </c>
      <c r="M227" s="24">
        <v>-1000513</v>
      </c>
      <c r="N227" s="24">
        <v>-1000513</v>
      </c>
      <c r="O227" s="24">
        <v>146357</v>
      </c>
      <c r="P227" s="24">
        <v>-11994367</v>
      </c>
      <c r="Q227" s="24">
        <v>-922644</v>
      </c>
      <c r="R227" s="15">
        <f t="shared" si="38"/>
        <v>18.452879999880679</v>
      </c>
      <c r="S227" s="15" t="s">
        <v>13</v>
      </c>
      <c r="T227" s="60">
        <f t="shared" si="42"/>
        <v>149606.72459999999</v>
      </c>
      <c r="U227" s="60">
        <f t="shared" si="42"/>
        <v>361408.88124000002</v>
      </c>
      <c r="V227" s="60">
        <f t="shared" si="42"/>
        <v>169655.77872</v>
      </c>
      <c r="W227" s="60">
        <f t="shared" si="42"/>
        <v>3275.3862000000004</v>
      </c>
      <c r="X227" s="60">
        <f t="shared" si="42"/>
        <v>1024.1348400000002</v>
      </c>
      <c r="Y227" s="60">
        <f t="shared" si="42"/>
        <v>237691.54728000003</v>
      </c>
      <c r="Z227" s="15"/>
      <c r="AA227" s="15" t="s">
        <v>13</v>
      </c>
      <c r="AB227" s="60">
        <f t="shared" si="43"/>
        <v>-23731.787549999997</v>
      </c>
      <c r="AC227" s="60">
        <f t="shared" si="43"/>
        <v>-57329.500469999999</v>
      </c>
      <c r="AD227" s="60">
        <f t="shared" si="43"/>
        <v>-26912.12516</v>
      </c>
      <c r="AE227" s="60">
        <f t="shared" si="43"/>
        <v>-519.56735000000003</v>
      </c>
      <c r="AF227" s="60">
        <f t="shared" si="43"/>
        <v>-162.45627000000002</v>
      </c>
      <c r="AG227" s="60">
        <f t="shared" si="43"/>
        <v>-37704.490340000004</v>
      </c>
      <c r="AH227" s="27">
        <f t="shared" si="41"/>
        <v>-2.9271399999852292</v>
      </c>
    </row>
    <row r="228" spans="1:34" x14ac:dyDescent="0.25">
      <c r="A228" s="31" t="s">
        <v>322</v>
      </c>
      <c r="B228" s="31" t="s">
        <v>323</v>
      </c>
      <c r="C228" s="24">
        <v>5523</v>
      </c>
      <c r="D228" s="24">
        <v>5523</v>
      </c>
      <c r="E228" s="24">
        <v>5523</v>
      </c>
      <c r="F228" s="24">
        <v>5523</v>
      </c>
      <c r="G228" s="24">
        <v>5523</v>
      </c>
      <c r="H228" s="24">
        <v>5523</v>
      </c>
      <c r="I228" s="24">
        <v>5523</v>
      </c>
      <c r="J228" s="24">
        <v>5523</v>
      </c>
      <c r="K228" s="24">
        <v>5523</v>
      </c>
      <c r="L228" s="24">
        <v>5523</v>
      </c>
      <c r="M228" s="24">
        <v>5523</v>
      </c>
      <c r="N228" s="24">
        <v>5523</v>
      </c>
      <c r="O228" s="24">
        <v>0</v>
      </c>
      <c r="P228" s="24">
        <v>66276</v>
      </c>
      <c r="Q228" s="24">
        <v>5098</v>
      </c>
      <c r="R228" s="15">
        <f t="shared" si="38"/>
        <v>-0.10195999999996275</v>
      </c>
      <c r="S228" s="15" t="s">
        <v>13</v>
      </c>
      <c r="T228" s="60">
        <f t="shared" si="42"/>
        <v>-826.64069999999992</v>
      </c>
      <c r="U228" s="60">
        <f t="shared" si="42"/>
        <v>-1996.93758</v>
      </c>
      <c r="V228" s="60">
        <f t="shared" si="42"/>
        <v>-937.42023999999992</v>
      </c>
      <c r="W228" s="60">
        <f t="shared" si="42"/>
        <v>-18.097900000000003</v>
      </c>
      <c r="X228" s="60">
        <f t="shared" si="42"/>
        <v>-5.6587800000000001</v>
      </c>
      <c r="Y228" s="60">
        <f t="shared" si="42"/>
        <v>-1313.3467600000001</v>
      </c>
      <c r="Z228" s="15"/>
      <c r="AA228" s="15" t="s">
        <v>13</v>
      </c>
      <c r="AB228" s="60">
        <f t="shared" si="43"/>
        <v>0</v>
      </c>
      <c r="AC228" s="60">
        <f t="shared" si="43"/>
        <v>0</v>
      </c>
      <c r="AD228" s="60">
        <f t="shared" si="43"/>
        <v>0</v>
      </c>
      <c r="AE228" s="60">
        <f t="shared" si="43"/>
        <v>0</v>
      </c>
      <c r="AF228" s="60">
        <f t="shared" si="43"/>
        <v>0</v>
      </c>
      <c r="AG228" s="60">
        <f t="shared" si="43"/>
        <v>0</v>
      </c>
      <c r="AH228" s="27">
        <f t="shared" si="41"/>
        <v>0</v>
      </c>
    </row>
    <row r="229" spans="1:34" x14ac:dyDescent="0.25">
      <c r="A229" s="31" t="s">
        <v>324</v>
      </c>
      <c r="B229" s="31" t="s">
        <v>325</v>
      </c>
      <c r="C229" s="24">
        <v>220186</v>
      </c>
      <c r="D229" s="24">
        <v>220186</v>
      </c>
      <c r="E229" s="24">
        <v>220186</v>
      </c>
      <c r="F229" s="24">
        <v>220186</v>
      </c>
      <c r="G229" s="24">
        <v>220186</v>
      </c>
      <c r="H229" s="24">
        <v>220186</v>
      </c>
      <c r="I229" s="24">
        <v>220186</v>
      </c>
      <c r="J229" s="24">
        <v>220186</v>
      </c>
      <c r="K229" s="24">
        <v>220186</v>
      </c>
      <c r="L229" s="24">
        <v>220186</v>
      </c>
      <c r="M229" s="24">
        <v>220186</v>
      </c>
      <c r="N229" s="24">
        <v>220186</v>
      </c>
      <c r="O229" s="24">
        <v>0</v>
      </c>
      <c r="P229" s="24">
        <v>2642232</v>
      </c>
      <c r="Q229" s="24">
        <v>203249</v>
      </c>
      <c r="R229" s="15">
        <f t="shared" si="38"/>
        <v>-4.0649799999955576</v>
      </c>
      <c r="S229" s="15" t="s">
        <v>13</v>
      </c>
      <c r="T229" s="60">
        <f t="shared" si="42"/>
        <v>-32956.825349999999</v>
      </c>
      <c r="U229" s="60">
        <f t="shared" si="42"/>
        <v>-79614.665789999999</v>
      </c>
      <c r="V229" s="60">
        <f t="shared" si="42"/>
        <v>-37373.426119999996</v>
      </c>
      <c r="W229" s="60">
        <f t="shared" si="42"/>
        <v>-721.53395</v>
      </c>
      <c r="X229" s="60">
        <f t="shared" si="42"/>
        <v>-225.60639</v>
      </c>
      <c r="Y229" s="60">
        <f t="shared" si="42"/>
        <v>-52361.007380000003</v>
      </c>
      <c r="Z229" s="15"/>
      <c r="AA229" s="15" t="s">
        <v>13</v>
      </c>
      <c r="AB229" s="60">
        <f t="shared" si="43"/>
        <v>0</v>
      </c>
      <c r="AC229" s="60">
        <f t="shared" si="43"/>
        <v>0</v>
      </c>
      <c r="AD229" s="60">
        <f t="shared" si="43"/>
        <v>0</v>
      </c>
      <c r="AE229" s="60">
        <f t="shared" si="43"/>
        <v>0</v>
      </c>
      <c r="AF229" s="60">
        <f t="shared" si="43"/>
        <v>0</v>
      </c>
      <c r="AG229" s="60">
        <f t="shared" si="43"/>
        <v>0</v>
      </c>
      <c r="AH229" s="27">
        <f t="shared" si="41"/>
        <v>0</v>
      </c>
    </row>
    <row r="230" spans="1:34" x14ac:dyDescent="0.25">
      <c r="A230" s="31" t="s">
        <v>326</v>
      </c>
      <c r="B230" s="31" t="s">
        <v>327</v>
      </c>
      <c r="C230" s="24">
        <v>5054</v>
      </c>
      <c r="D230" s="24">
        <v>5054</v>
      </c>
      <c r="E230" s="24">
        <v>5054</v>
      </c>
      <c r="F230" s="24">
        <v>5054</v>
      </c>
      <c r="G230" s="24">
        <v>5054</v>
      </c>
      <c r="H230" s="24">
        <v>5054</v>
      </c>
      <c r="I230" s="24">
        <v>5054</v>
      </c>
      <c r="J230" s="24">
        <v>5054</v>
      </c>
      <c r="K230" s="24">
        <v>5054</v>
      </c>
      <c r="L230" s="24">
        <v>5054</v>
      </c>
      <c r="M230" s="24">
        <v>5054</v>
      </c>
      <c r="N230" s="24">
        <v>5054</v>
      </c>
      <c r="O230" s="24">
        <v>0</v>
      </c>
      <c r="P230" s="24">
        <v>60648</v>
      </c>
      <c r="Q230" s="24">
        <v>4665</v>
      </c>
      <c r="R230" s="15"/>
      <c r="S230" s="15" t="s">
        <v>13</v>
      </c>
      <c r="T230" s="60">
        <f t="shared" si="42"/>
        <v>-756.4297499999999</v>
      </c>
      <c r="U230" s="60">
        <f t="shared" si="42"/>
        <v>-1827.3271500000001</v>
      </c>
      <c r="V230" s="60">
        <f t="shared" si="42"/>
        <v>-857.8001999999999</v>
      </c>
      <c r="W230" s="60">
        <f t="shared" si="42"/>
        <v>-16.560750000000002</v>
      </c>
      <c r="X230" s="60">
        <f t="shared" si="42"/>
        <v>-5.1781500000000005</v>
      </c>
      <c r="Y230" s="60">
        <f t="shared" si="42"/>
        <v>-1201.7973000000002</v>
      </c>
      <c r="Z230" s="15"/>
      <c r="AA230" s="15" t="s">
        <v>13</v>
      </c>
      <c r="AB230" s="60">
        <f t="shared" si="43"/>
        <v>0</v>
      </c>
      <c r="AC230" s="60">
        <f t="shared" si="43"/>
        <v>0</v>
      </c>
      <c r="AD230" s="60">
        <f t="shared" si="43"/>
        <v>0</v>
      </c>
      <c r="AE230" s="60">
        <f t="shared" si="43"/>
        <v>0</v>
      </c>
      <c r="AF230" s="60">
        <f t="shared" si="43"/>
        <v>0</v>
      </c>
      <c r="AG230" s="60">
        <f t="shared" si="43"/>
        <v>0</v>
      </c>
      <c r="AH230" s="27"/>
    </row>
    <row r="231" spans="1:34" x14ac:dyDescent="0.25">
      <c r="A231" s="31" t="s">
        <v>328</v>
      </c>
      <c r="B231" s="31" t="s">
        <v>329</v>
      </c>
      <c r="C231" s="24">
        <v>8914</v>
      </c>
      <c r="D231" s="24">
        <v>8244</v>
      </c>
      <c r="E231" s="24">
        <v>7574</v>
      </c>
      <c r="F231" s="24">
        <v>6904</v>
      </c>
      <c r="G231" s="24">
        <v>6234</v>
      </c>
      <c r="H231" s="24">
        <v>5564</v>
      </c>
      <c r="I231" s="24">
        <v>4894</v>
      </c>
      <c r="J231" s="24">
        <v>4224</v>
      </c>
      <c r="K231" s="24">
        <v>3554</v>
      </c>
      <c r="L231" s="24">
        <v>2884</v>
      </c>
      <c r="M231" s="24">
        <v>2214</v>
      </c>
      <c r="N231" s="24">
        <v>1544</v>
      </c>
      <c r="O231" s="24">
        <v>874</v>
      </c>
      <c r="P231" s="24">
        <v>63622</v>
      </c>
      <c r="Q231" s="24">
        <v>4894</v>
      </c>
      <c r="R231" s="15"/>
      <c r="S231" s="15" t="s">
        <v>13</v>
      </c>
      <c r="T231" s="60">
        <f t="shared" si="42"/>
        <v>-793.56209999999999</v>
      </c>
      <c r="U231" s="60">
        <f t="shared" si="42"/>
        <v>-1917.02874</v>
      </c>
      <c r="V231" s="60">
        <f t="shared" si="42"/>
        <v>-899.9087199999999</v>
      </c>
      <c r="W231" s="60">
        <f t="shared" si="42"/>
        <v>-17.373699999999999</v>
      </c>
      <c r="X231" s="60">
        <f t="shared" si="42"/>
        <v>-5.4323400000000008</v>
      </c>
      <c r="Y231" s="60">
        <f t="shared" si="42"/>
        <v>-1260.7922800000001</v>
      </c>
      <c r="Z231" s="15"/>
      <c r="AA231" s="15" t="s">
        <v>13</v>
      </c>
      <c r="AB231" s="60">
        <f t="shared" si="43"/>
        <v>-141.7191</v>
      </c>
      <c r="AC231" s="60">
        <f t="shared" si="43"/>
        <v>-342.35453999999999</v>
      </c>
      <c r="AD231" s="60">
        <f t="shared" si="43"/>
        <v>-160.71111999999999</v>
      </c>
      <c r="AE231" s="60">
        <f t="shared" si="43"/>
        <v>-3.1027</v>
      </c>
      <c r="AF231" s="60">
        <f t="shared" si="43"/>
        <v>-0.97014000000000011</v>
      </c>
      <c r="AG231" s="60">
        <f t="shared" si="43"/>
        <v>-225.15988000000002</v>
      </c>
      <c r="AH231" s="27"/>
    </row>
    <row r="232" spans="1:34" x14ac:dyDescent="0.25">
      <c r="A232" s="31" t="s">
        <v>330</v>
      </c>
      <c r="B232" s="31" t="s">
        <v>331</v>
      </c>
      <c r="C232" s="24">
        <v>-92290</v>
      </c>
      <c r="D232" s="24">
        <v>-92290</v>
      </c>
      <c r="E232" s="24">
        <v>-92290</v>
      </c>
      <c r="F232" s="24">
        <v>-92290</v>
      </c>
      <c r="G232" s="24">
        <v>-92290</v>
      </c>
      <c r="H232" s="24">
        <v>-92290</v>
      </c>
      <c r="I232" s="24">
        <v>-92290</v>
      </c>
      <c r="J232" s="24">
        <v>-92290</v>
      </c>
      <c r="K232" s="24">
        <v>-92290</v>
      </c>
      <c r="L232" s="24">
        <v>-92290</v>
      </c>
      <c r="M232" s="24">
        <v>-92290</v>
      </c>
      <c r="N232" s="24">
        <v>-92290</v>
      </c>
      <c r="O232" s="24">
        <v>0</v>
      </c>
      <c r="P232" s="24">
        <v>-1107480</v>
      </c>
      <c r="Q232" s="24">
        <v>-85191</v>
      </c>
      <c r="R232" s="15"/>
      <c r="S232" s="15" t="s">
        <v>13</v>
      </c>
      <c r="T232" s="60">
        <f t="shared" si="42"/>
        <v>13813.720649999999</v>
      </c>
      <c r="U232" s="60">
        <f t="shared" si="42"/>
        <v>33370.16661</v>
      </c>
      <c r="V232" s="60">
        <f t="shared" si="42"/>
        <v>15664.921079999998</v>
      </c>
      <c r="W232" s="60">
        <f t="shared" si="42"/>
        <v>302.42805000000004</v>
      </c>
      <c r="X232" s="60">
        <f t="shared" si="42"/>
        <v>94.562010000000001</v>
      </c>
      <c r="Y232" s="60">
        <f t="shared" si="42"/>
        <v>21946.905420000003</v>
      </c>
      <c r="Z232" s="15"/>
      <c r="AA232" s="15" t="s">
        <v>13</v>
      </c>
      <c r="AB232" s="60">
        <f t="shared" si="43"/>
        <v>0</v>
      </c>
      <c r="AC232" s="60">
        <f t="shared" si="43"/>
        <v>0</v>
      </c>
      <c r="AD232" s="60">
        <f t="shared" si="43"/>
        <v>0</v>
      </c>
      <c r="AE232" s="60">
        <f t="shared" si="43"/>
        <v>0</v>
      </c>
      <c r="AF232" s="60">
        <f t="shared" si="43"/>
        <v>0</v>
      </c>
      <c r="AG232" s="60">
        <f t="shared" si="43"/>
        <v>0</v>
      </c>
      <c r="AH232" s="27"/>
    </row>
    <row r="233" spans="1:34" x14ac:dyDescent="0.25">
      <c r="A233" s="35"/>
      <c r="B233" s="35"/>
      <c r="C233" s="36" t="s">
        <v>67</v>
      </c>
      <c r="D233" s="36" t="s">
        <v>67</v>
      </c>
      <c r="E233" s="36" t="s">
        <v>67</v>
      </c>
      <c r="F233" s="36" t="s">
        <v>67</v>
      </c>
      <c r="G233" s="36" t="s">
        <v>67</v>
      </c>
      <c r="H233" s="36" t="s">
        <v>67</v>
      </c>
      <c r="I233" s="36" t="s">
        <v>67</v>
      </c>
      <c r="J233" s="36" t="s">
        <v>67</v>
      </c>
      <c r="K233" s="36" t="s">
        <v>67</v>
      </c>
      <c r="L233" s="36" t="s">
        <v>67</v>
      </c>
      <c r="M233" s="36" t="s">
        <v>67</v>
      </c>
      <c r="N233" s="36" t="s">
        <v>67</v>
      </c>
      <c r="O233" s="36" t="s">
        <v>67</v>
      </c>
      <c r="P233" s="36" t="s">
        <v>67</v>
      </c>
      <c r="Q233" s="36" t="s">
        <v>67</v>
      </c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27"/>
    </row>
    <row r="234" spans="1:34" x14ac:dyDescent="0.25">
      <c r="A234" s="37" t="s">
        <v>332</v>
      </c>
      <c r="B234" s="38"/>
      <c r="C234" s="39">
        <v>-653081</v>
      </c>
      <c r="D234" s="39">
        <v>-653751</v>
      </c>
      <c r="E234" s="39">
        <v>-654421</v>
      </c>
      <c r="F234" s="39">
        <v>-403443</v>
      </c>
      <c r="G234" s="39">
        <v>-404113</v>
      </c>
      <c r="H234" s="39">
        <v>-404783</v>
      </c>
      <c r="I234" s="39">
        <v>-187002</v>
      </c>
      <c r="J234" s="39">
        <v>-187672</v>
      </c>
      <c r="K234" s="39">
        <v>-188342</v>
      </c>
      <c r="L234" s="39">
        <v>-112425</v>
      </c>
      <c r="M234" s="39">
        <v>-113095</v>
      </c>
      <c r="N234" s="39">
        <v>-113765</v>
      </c>
      <c r="O234" s="39">
        <v>-66102</v>
      </c>
      <c r="P234" s="39">
        <v>-4141995</v>
      </c>
      <c r="Q234" s="39">
        <v>-318615</v>
      </c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27"/>
    </row>
    <row r="235" spans="1:34" x14ac:dyDescent="0.25">
      <c r="A235" s="35"/>
      <c r="B235" s="35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27"/>
    </row>
    <row r="236" spans="1:34" x14ac:dyDescent="0.25">
      <c r="A236" s="37" t="s">
        <v>333</v>
      </c>
      <c r="B236" s="38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27"/>
    </row>
    <row r="237" spans="1:34" x14ac:dyDescent="0.25">
      <c r="A237" s="31" t="s">
        <v>334</v>
      </c>
      <c r="B237" s="31" t="s">
        <v>335</v>
      </c>
      <c r="C237" s="24">
        <v>-336892</v>
      </c>
      <c r="D237" s="24">
        <v>-332882</v>
      </c>
      <c r="E237" s="24">
        <v>-328871</v>
      </c>
      <c r="F237" s="24">
        <v>-324861</v>
      </c>
      <c r="G237" s="24">
        <v>-320850</v>
      </c>
      <c r="H237" s="24">
        <v>-316840</v>
      </c>
      <c r="I237" s="24">
        <v>-312830</v>
      </c>
      <c r="J237" s="24">
        <v>-308820</v>
      </c>
      <c r="K237" s="24">
        <v>-304810</v>
      </c>
      <c r="L237" s="24">
        <v>-300800</v>
      </c>
      <c r="M237" s="24">
        <v>-296790</v>
      </c>
      <c r="N237" s="24">
        <v>-292780</v>
      </c>
      <c r="O237" s="24">
        <v>-288770</v>
      </c>
      <c r="P237" s="24">
        <v>-4066791</v>
      </c>
      <c r="Q237" s="24">
        <v>-312830</v>
      </c>
      <c r="R237" s="15">
        <f>SUM(T237:Y237)+Q237</f>
        <v>6.2565999999642372</v>
      </c>
      <c r="S237" s="15" t="s">
        <v>13</v>
      </c>
      <c r="T237" s="60">
        <f t="shared" ref="T237:Y238" si="44">-$Q237*T$3</f>
        <v>50725.384499999993</v>
      </c>
      <c r="U237" s="60">
        <f t="shared" si="44"/>
        <v>122538.6393</v>
      </c>
      <c r="V237" s="60">
        <f t="shared" si="44"/>
        <v>57523.180399999997</v>
      </c>
      <c r="W237" s="60">
        <f t="shared" si="44"/>
        <v>1110.5465000000002</v>
      </c>
      <c r="X237" s="60">
        <f t="shared" si="44"/>
        <v>347.24130000000002</v>
      </c>
      <c r="Y237" s="60">
        <f t="shared" si="44"/>
        <v>80591.26460000001</v>
      </c>
      <c r="Z237" s="15"/>
      <c r="AA237" s="15" t="s">
        <v>13</v>
      </c>
      <c r="AB237" s="60">
        <f t="shared" ref="AB237:AG238" si="45">-$O237*AB$3</f>
        <v>46824.055499999995</v>
      </c>
      <c r="AC237" s="60">
        <f t="shared" si="45"/>
        <v>113114.09669999999</v>
      </c>
      <c r="AD237" s="60">
        <f t="shared" si="45"/>
        <v>53099.027599999994</v>
      </c>
      <c r="AE237" s="60">
        <f t="shared" si="45"/>
        <v>1025.1335000000001</v>
      </c>
      <c r="AF237" s="60">
        <f t="shared" si="45"/>
        <v>320.53470000000004</v>
      </c>
      <c r="AG237" s="60">
        <f t="shared" si="45"/>
        <v>74392.9274</v>
      </c>
      <c r="AH237" s="27">
        <f>SUM(AB237:AG237)+O237</f>
        <v>5.7753999999840744</v>
      </c>
    </row>
    <row r="238" spans="1:34" x14ac:dyDescent="0.25">
      <c r="A238" s="31" t="s">
        <v>336</v>
      </c>
      <c r="B238" s="31" t="s">
        <v>337</v>
      </c>
      <c r="C238" s="24">
        <v>301770</v>
      </c>
      <c r="D238" s="24">
        <v>300404</v>
      </c>
      <c r="E238" s="24">
        <v>299038</v>
      </c>
      <c r="F238" s="24">
        <v>297672</v>
      </c>
      <c r="G238" s="24">
        <v>296306</v>
      </c>
      <c r="H238" s="24">
        <v>294940</v>
      </c>
      <c r="I238" s="24">
        <v>293575</v>
      </c>
      <c r="J238" s="24">
        <v>292210</v>
      </c>
      <c r="K238" s="24">
        <v>290845</v>
      </c>
      <c r="L238" s="24">
        <v>289480</v>
      </c>
      <c r="M238" s="24">
        <v>288115</v>
      </c>
      <c r="N238" s="24">
        <v>286750</v>
      </c>
      <c r="O238" s="24">
        <v>285385</v>
      </c>
      <c r="P238" s="24">
        <v>3816495</v>
      </c>
      <c r="Q238" s="24">
        <v>293577</v>
      </c>
      <c r="R238" s="15">
        <f>SUM(T238:Y238)+Q238</f>
        <v>-5.8715399999637157</v>
      </c>
      <c r="S238" s="15" t="s">
        <v>13</v>
      </c>
      <c r="T238" s="60">
        <f t="shared" si="44"/>
        <v>-47603.510549999999</v>
      </c>
      <c r="U238" s="60">
        <f t="shared" si="44"/>
        <v>-114997.04667</v>
      </c>
      <c r="V238" s="60">
        <f t="shared" si="44"/>
        <v>-53982.938759999997</v>
      </c>
      <c r="W238" s="60">
        <f t="shared" si="44"/>
        <v>-1042.1983500000001</v>
      </c>
      <c r="X238" s="60">
        <f t="shared" si="44"/>
        <v>-325.87047000000001</v>
      </c>
      <c r="Y238" s="60">
        <f t="shared" si="44"/>
        <v>-75631.30674</v>
      </c>
      <c r="Z238" s="15"/>
      <c r="AA238" s="15" t="s">
        <v>13</v>
      </c>
      <c r="AB238" s="60">
        <f t="shared" si="45"/>
        <v>-46275.177749999995</v>
      </c>
      <c r="AC238" s="60">
        <f t="shared" si="45"/>
        <v>-111788.15835</v>
      </c>
      <c r="AD238" s="60">
        <f t="shared" si="45"/>
        <v>-52476.593799999995</v>
      </c>
      <c r="AE238" s="60">
        <f t="shared" si="45"/>
        <v>-1013.11675</v>
      </c>
      <c r="AF238" s="60">
        <f t="shared" si="45"/>
        <v>-316.77735000000001</v>
      </c>
      <c r="AG238" s="60">
        <f t="shared" si="45"/>
        <v>-73520.883700000006</v>
      </c>
      <c r="AH238" s="27">
        <f>SUM(AB238:AG238)+O238</f>
        <v>-5.7076999999699183</v>
      </c>
    </row>
    <row r="239" spans="1:34" x14ac:dyDescent="0.25">
      <c r="A239" s="35"/>
      <c r="B239" s="35"/>
      <c r="C239" s="36" t="s">
        <v>67</v>
      </c>
      <c r="D239" s="36" t="s">
        <v>67</v>
      </c>
      <c r="E239" s="36" t="s">
        <v>67</v>
      </c>
      <c r="F239" s="36" t="s">
        <v>67</v>
      </c>
      <c r="G239" s="36" t="s">
        <v>67</v>
      </c>
      <c r="H239" s="36" t="s">
        <v>67</v>
      </c>
      <c r="I239" s="36" t="s">
        <v>67</v>
      </c>
      <c r="J239" s="36" t="s">
        <v>67</v>
      </c>
      <c r="K239" s="36" t="s">
        <v>67</v>
      </c>
      <c r="L239" s="36" t="s">
        <v>67</v>
      </c>
      <c r="M239" s="36" t="s">
        <v>67</v>
      </c>
      <c r="N239" s="36" t="s">
        <v>67</v>
      </c>
      <c r="O239" s="36" t="s">
        <v>67</v>
      </c>
      <c r="P239" s="36" t="s">
        <v>67</v>
      </c>
      <c r="Q239" s="36" t="s">
        <v>67</v>
      </c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27"/>
    </row>
    <row r="240" spans="1:34" x14ac:dyDescent="0.25">
      <c r="A240" s="37" t="s">
        <v>338</v>
      </c>
      <c r="B240" s="38"/>
      <c r="C240" s="39">
        <v>-35122</v>
      </c>
      <c r="D240" s="39">
        <v>-32477</v>
      </c>
      <c r="E240" s="39">
        <v>-29833</v>
      </c>
      <c r="F240" s="39">
        <v>-27188</v>
      </c>
      <c r="G240" s="39">
        <v>-24544</v>
      </c>
      <c r="H240" s="39">
        <v>-21899</v>
      </c>
      <c r="I240" s="39">
        <v>-19254</v>
      </c>
      <c r="J240" s="39">
        <v>-16609</v>
      </c>
      <c r="K240" s="39">
        <v>-13964</v>
      </c>
      <c r="L240" s="39">
        <v>-11319</v>
      </c>
      <c r="M240" s="39">
        <v>-8674</v>
      </c>
      <c r="N240" s="39">
        <v>-6029</v>
      </c>
      <c r="O240" s="39">
        <v>-3384</v>
      </c>
      <c r="P240" s="39">
        <v>-250297</v>
      </c>
      <c r="Q240" s="39">
        <v>-19254</v>
      </c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27"/>
    </row>
    <row r="241" spans="1:34" x14ac:dyDescent="0.25">
      <c r="A241" s="35"/>
      <c r="B241" s="35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27"/>
    </row>
    <row r="242" spans="1:34" x14ac:dyDescent="0.25">
      <c r="A242" s="21" t="s">
        <v>339</v>
      </c>
      <c r="B242" s="22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27"/>
    </row>
    <row r="243" spans="1:34" x14ac:dyDescent="0.25">
      <c r="A243" s="13" t="s">
        <v>340</v>
      </c>
      <c r="B243" s="13" t="s">
        <v>341</v>
      </c>
      <c r="C243" s="2">
        <v>-7496577</v>
      </c>
      <c r="D243" s="2">
        <v>-7994795</v>
      </c>
      <c r="E243" s="2">
        <v>-8076462</v>
      </c>
      <c r="F243" s="2">
        <v>-8313380</v>
      </c>
      <c r="G243" s="2">
        <v>-8857881</v>
      </c>
      <c r="H243" s="2">
        <v>-8939548</v>
      </c>
      <c r="I243" s="2">
        <v>-9431662</v>
      </c>
      <c r="J243" s="2">
        <v>-9976163</v>
      </c>
      <c r="K243" s="2">
        <v>-10057830</v>
      </c>
      <c r="L243" s="2">
        <v>-10294748</v>
      </c>
      <c r="M243" s="2">
        <v>-10376415</v>
      </c>
      <c r="N243" s="2">
        <v>-10458082</v>
      </c>
      <c r="O243" s="2">
        <v>-13579024</v>
      </c>
      <c r="P243" s="2">
        <v>-123852568</v>
      </c>
      <c r="Q243" s="2">
        <v>-9527121</v>
      </c>
      <c r="R243" s="15">
        <f t="shared" ref="R243:R248" si="46">SUM(T243:Y243)+Q243</f>
        <v>0</v>
      </c>
      <c r="S243" s="15" t="s">
        <v>29</v>
      </c>
      <c r="T243" s="15">
        <f t="shared" ref="T243:Y248" si="47">-$Q243*T$6</f>
        <v>2400834.4920000001</v>
      </c>
      <c r="U243" s="15">
        <f t="shared" si="47"/>
        <v>4954102.92</v>
      </c>
      <c r="V243" s="15">
        <f t="shared" si="47"/>
        <v>0</v>
      </c>
      <c r="W243" s="15">
        <f t="shared" si="47"/>
        <v>0</v>
      </c>
      <c r="X243" s="15">
        <f t="shared" si="47"/>
        <v>0</v>
      </c>
      <c r="Y243" s="15">
        <f t="shared" si="47"/>
        <v>2172183.588</v>
      </c>
      <c r="Z243" s="15"/>
      <c r="AA243" s="15" t="s">
        <v>29</v>
      </c>
      <c r="AB243" s="15">
        <f t="shared" ref="AB243:AG248" si="48">-$O243*AB$6</f>
        <v>3421914.048</v>
      </c>
      <c r="AC243" s="15">
        <f t="shared" si="48"/>
        <v>7061092.4800000004</v>
      </c>
      <c r="AD243" s="15">
        <f t="shared" si="48"/>
        <v>0</v>
      </c>
      <c r="AE243" s="15">
        <f t="shared" si="48"/>
        <v>0</v>
      </c>
      <c r="AF243" s="15">
        <f t="shared" si="48"/>
        <v>0</v>
      </c>
      <c r="AG243" s="15">
        <f t="shared" si="48"/>
        <v>3096017.4720000001</v>
      </c>
      <c r="AH243" s="27">
        <f t="shared" ref="AH243:AH248" si="49">SUM(AB243:AG243)+O243</f>
        <v>0</v>
      </c>
    </row>
    <row r="244" spans="1:34" x14ac:dyDescent="0.25">
      <c r="A244" s="13" t="s">
        <v>342</v>
      </c>
      <c r="B244" s="13" t="s">
        <v>343</v>
      </c>
      <c r="C244" s="2">
        <v>-87726</v>
      </c>
      <c r="D244" s="2">
        <v>-86440</v>
      </c>
      <c r="E244" s="2">
        <v>-85154</v>
      </c>
      <c r="F244" s="2">
        <v>-83868</v>
      </c>
      <c r="G244" s="2">
        <v>-82582</v>
      </c>
      <c r="H244" s="2">
        <v>-81296</v>
      </c>
      <c r="I244" s="2">
        <v>-80010</v>
      </c>
      <c r="J244" s="2">
        <v>-78724</v>
      </c>
      <c r="K244" s="2">
        <v>-77438</v>
      </c>
      <c r="L244" s="2">
        <v>-76152</v>
      </c>
      <c r="M244" s="2">
        <v>-74866</v>
      </c>
      <c r="N244" s="2">
        <v>-73580</v>
      </c>
      <c r="O244" s="2">
        <v>7455</v>
      </c>
      <c r="P244" s="2">
        <v>-960381</v>
      </c>
      <c r="Q244" s="2">
        <v>-73875</v>
      </c>
      <c r="R244" s="15">
        <f t="shared" si="46"/>
        <v>0</v>
      </c>
      <c r="S244" s="15" t="s">
        <v>29</v>
      </c>
      <c r="T244" s="15">
        <f t="shared" si="47"/>
        <v>18616.5</v>
      </c>
      <c r="U244" s="15">
        <f t="shared" si="47"/>
        <v>38415</v>
      </c>
      <c r="V244" s="15">
        <f t="shared" si="47"/>
        <v>0</v>
      </c>
      <c r="W244" s="15">
        <f t="shared" si="47"/>
        <v>0</v>
      </c>
      <c r="X244" s="15">
        <f t="shared" si="47"/>
        <v>0</v>
      </c>
      <c r="Y244" s="15">
        <f t="shared" si="47"/>
        <v>16843.5</v>
      </c>
      <c r="Z244" s="15"/>
      <c r="AA244" s="15" t="s">
        <v>29</v>
      </c>
      <c r="AB244" s="15">
        <f t="shared" si="48"/>
        <v>-1878.66</v>
      </c>
      <c r="AC244" s="15">
        <f t="shared" si="48"/>
        <v>-3876.6</v>
      </c>
      <c r="AD244" s="15">
        <f t="shared" si="48"/>
        <v>0</v>
      </c>
      <c r="AE244" s="15">
        <f t="shared" si="48"/>
        <v>0</v>
      </c>
      <c r="AF244" s="15">
        <f t="shared" si="48"/>
        <v>0</v>
      </c>
      <c r="AG244" s="15">
        <f t="shared" si="48"/>
        <v>-1699.74</v>
      </c>
      <c r="AH244" s="27">
        <f t="shared" si="49"/>
        <v>0</v>
      </c>
    </row>
    <row r="245" spans="1:34" x14ac:dyDescent="0.25">
      <c r="A245" s="13" t="s">
        <v>344</v>
      </c>
      <c r="B245" s="13" t="s">
        <v>345</v>
      </c>
      <c r="C245" s="2">
        <v>-478218</v>
      </c>
      <c r="D245" s="2">
        <v>-485418</v>
      </c>
      <c r="E245" s="2">
        <v>-492618</v>
      </c>
      <c r="F245" s="2">
        <v>-499818</v>
      </c>
      <c r="G245" s="2">
        <v>-507018</v>
      </c>
      <c r="H245" s="2">
        <v>-514218</v>
      </c>
      <c r="I245" s="2">
        <v>-521418</v>
      </c>
      <c r="J245" s="2">
        <v>-528618</v>
      </c>
      <c r="K245" s="2">
        <v>-535818</v>
      </c>
      <c r="L245" s="2">
        <v>-543018</v>
      </c>
      <c r="M245" s="2">
        <v>-550218</v>
      </c>
      <c r="N245" s="2">
        <v>-557418</v>
      </c>
      <c r="O245" s="2">
        <v>-598688</v>
      </c>
      <c r="P245" s="2">
        <v>-6812507</v>
      </c>
      <c r="Q245" s="2">
        <v>-524039</v>
      </c>
      <c r="R245" s="15">
        <f t="shared" si="46"/>
        <v>0</v>
      </c>
      <c r="S245" s="15" t="s">
        <v>29</v>
      </c>
      <c r="T245" s="15">
        <f t="shared" si="47"/>
        <v>132057.82800000001</v>
      </c>
      <c r="U245" s="15">
        <f t="shared" si="47"/>
        <v>272500.28000000003</v>
      </c>
      <c r="V245" s="15">
        <f t="shared" si="47"/>
        <v>0</v>
      </c>
      <c r="W245" s="15">
        <f t="shared" si="47"/>
        <v>0</v>
      </c>
      <c r="X245" s="15">
        <f t="shared" si="47"/>
        <v>0</v>
      </c>
      <c r="Y245" s="15">
        <f t="shared" si="47"/>
        <v>119480.89200000001</v>
      </c>
      <c r="Z245" s="15"/>
      <c r="AA245" s="15" t="s">
        <v>29</v>
      </c>
      <c r="AB245" s="15">
        <f t="shared" si="48"/>
        <v>150869.37599999999</v>
      </c>
      <c r="AC245" s="15">
        <f t="shared" si="48"/>
        <v>311317.76000000001</v>
      </c>
      <c r="AD245" s="15">
        <f t="shared" si="48"/>
        <v>0</v>
      </c>
      <c r="AE245" s="15">
        <f t="shared" si="48"/>
        <v>0</v>
      </c>
      <c r="AF245" s="15">
        <f t="shared" si="48"/>
        <v>0</v>
      </c>
      <c r="AG245" s="15">
        <f t="shared" si="48"/>
        <v>136500.864</v>
      </c>
      <c r="AH245" s="27">
        <f t="shared" si="49"/>
        <v>0</v>
      </c>
    </row>
    <row r="246" spans="1:34" x14ac:dyDescent="0.25">
      <c r="A246" s="13" t="s">
        <v>346</v>
      </c>
      <c r="B246" s="13" t="s">
        <v>347</v>
      </c>
      <c r="C246" s="2">
        <v>-95590</v>
      </c>
      <c r="D246" s="2">
        <v>-96700</v>
      </c>
      <c r="E246" s="2">
        <v>-97810</v>
      </c>
      <c r="F246" s="2">
        <v>-98920</v>
      </c>
      <c r="G246" s="2">
        <v>-100030</v>
      </c>
      <c r="H246" s="2">
        <v>-101140</v>
      </c>
      <c r="I246" s="2">
        <v>-102250</v>
      </c>
      <c r="J246" s="2">
        <v>-103360</v>
      </c>
      <c r="K246" s="2">
        <v>-104470</v>
      </c>
      <c r="L246" s="2">
        <v>-105580</v>
      </c>
      <c r="M246" s="2">
        <v>-106690</v>
      </c>
      <c r="N246" s="2">
        <v>-107800</v>
      </c>
      <c r="O246" s="2">
        <v>-102586</v>
      </c>
      <c r="P246" s="2">
        <v>-1322925</v>
      </c>
      <c r="Q246" s="2">
        <v>-101763</v>
      </c>
      <c r="R246" s="15">
        <f t="shared" si="46"/>
        <v>0</v>
      </c>
      <c r="S246" s="15" t="s">
        <v>29</v>
      </c>
      <c r="T246" s="15">
        <f t="shared" si="47"/>
        <v>25644.276000000002</v>
      </c>
      <c r="U246" s="15">
        <f t="shared" si="47"/>
        <v>52916.76</v>
      </c>
      <c r="V246" s="15">
        <f t="shared" si="47"/>
        <v>0</v>
      </c>
      <c r="W246" s="15">
        <f t="shared" si="47"/>
        <v>0</v>
      </c>
      <c r="X246" s="15">
        <f t="shared" si="47"/>
        <v>0</v>
      </c>
      <c r="Y246" s="15">
        <f t="shared" si="47"/>
        <v>23201.964</v>
      </c>
      <c r="Z246" s="15"/>
      <c r="AA246" s="15" t="s">
        <v>29</v>
      </c>
      <c r="AB246" s="15">
        <f t="shared" si="48"/>
        <v>25851.671999999999</v>
      </c>
      <c r="AC246" s="15">
        <f t="shared" si="48"/>
        <v>53344.72</v>
      </c>
      <c r="AD246" s="15">
        <f t="shared" si="48"/>
        <v>0</v>
      </c>
      <c r="AE246" s="15">
        <f t="shared" si="48"/>
        <v>0</v>
      </c>
      <c r="AF246" s="15">
        <f t="shared" si="48"/>
        <v>0</v>
      </c>
      <c r="AG246" s="15">
        <f t="shared" si="48"/>
        <v>23389.608</v>
      </c>
      <c r="AH246" s="27">
        <f t="shared" si="49"/>
        <v>0</v>
      </c>
    </row>
    <row r="247" spans="1:34" x14ac:dyDescent="0.25">
      <c r="A247" s="13" t="s">
        <v>348</v>
      </c>
      <c r="B247" s="13" t="s">
        <v>349</v>
      </c>
      <c r="C247" s="2">
        <v>-6856</v>
      </c>
      <c r="D247" s="2">
        <v>-6856</v>
      </c>
      <c r="E247" s="2">
        <v>-6856</v>
      </c>
      <c r="F247" s="2">
        <v>-6856</v>
      </c>
      <c r="G247" s="2">
        <v>-6856</v>
      </c>
      <c r="H247" s="2">
        <v>-6856</v>
      </c>
      <c r="I247" s="2">
        <v>-6856</v>
      </c>
      <c r="J247" s="2">
        <v>-6856</v>
      </c>
      <c r="K247" s="2">
        <v>-6856</v>
      </c>
      <c r="L247" s="2">
        <v>-6856</v>
      </c>
      <c r="M247" s="2">
        <v>-6856</v>
      </c>
      <c r="N247" s="2">
        <v>-6856</v>
      </c>
      <c r="O247" s="2">
        <v>-8652</v>
      </c>
      <c r="P247" s="2">
        <v>-90928</v>
      </c>
      <c r="Q247" s="2">
        <v>-6994</v>
      </c>
      <c r="R247" s="15">
        <f t="shared" si="46"/>
        <v>0</v>
      </c>
      <c r="S247" s="15" t="s">
        <v>29</v>
      </c>
      <c r="T247" s="15">
        <f t="shared" si="47"/>
        <v>1762.4880000000001</v>
      </c>
      <c r="U247" s="15">
        <f t="shared" si="47"/>
        <v>3636.88</v>
      </c>
      <c r="V247" s="15">
        <f t="shared" si="47"/>
        <v>0</v>
      </c>
      <c r="W247" s="15">
        <f t="shared" si="47"/>
        <v>0</v>
      </c>
      <c r="X247" s="15">
        <f t="shared" si="47"/>
        <v>0</v>
      </c>
      <c r="Y247" s="15">
        <f t="shared" si="47"/>
        <v>1594.6320000000001</v>
      </c>
      <c r="Z247" s="15"/>
      <c r="AA247" s="15" t="s">
        <v>29</v>
      </c>
      <c r="AB247" s="15">
        <f t="shared" si="48"/>
        <v>2180.3040000000001</v>
      </c>
      <c r="AC247" s="15">
        <f t="shared" si="48"/>
        <v>4499.04</v>
      </c>
      <c r="AD247" s="15">
        <f t="shared" si="48"/>
        <v>0</v>
      </c>
      <c r="AE247" s="15">
        <f t="shared" si="48"/>
        <v>0</v>
      </c>
      <c r="AF247" s="15">
        <f t="shared" si="48"/>
        <v>0</v>
      </c>
      <c r="AG247" s="15">
        <f t="shared" si="48"/>
        <v>1972.6560000000002</v>
      </c>
      <c r="AH247" s="27">
        <f t="shared" si="49"/>
        <v>0</v>
      </c>
    </row>
    <row r="248" spans="1:34" x14ac:dyDescent="0.25">
      <c r="A248" s="13" t="s">
        <v>350</v>
      </c>
      <c r="B248" s="13" t="s">
        <v>351</v>
      </c>
      <c r="C248" s="2">
        <v>230135</v>
      </c>
      <c r="D248" s="2">
        <v>233981</v>
      </c>
      <c r="E248" s="2">
        <v>237282</v>
      </c>
      <c r="F248" s="2">
        <v>241356</v>
      </c>
      <c r="G248" s="2">
        <v>245182</v>
      </c>
      <c r="H248" s="2">
        <v>249692</v>
      </c>
      <c r="I248" s="2">
        <v>253234</v>
      </c>
      <c r="J248" s="2">
        <v>260270</v>
      </c>
      <c r="K248" s="2">
        <v>271290</v>
      </c>
      <c r="L248" s="2">
        <v>273557</v>
      </c>
      <c r="M248" s="2">
        <v>276381</v>
      </c>
      <c r="N248" s="2">
        <v>282173</v>
      </c>
      <c r="O248" s="2">
        <v>259223</v>
      </c>
      <c r="P248" s="2">
        <v>3313757</v>
      </c>
      <c r="Q248" s="2">
        <v>254904</v>
      </c>
      <c r="R248" s="15">
        <f t="shared" si="46"/>
        <v>0</v>
      </c>
      <c r="S248" s="15" t="s">
        <v>29</v>
      </c>
      <c r="T248" s="15">
        <f t="shared" si="47"/>
        <v>-64235.807999999997</v>
      </c>
      <c r="U248" s="15">
        <f t="shared" si="47"/>
        <v>-132550.08000000002</v>
      </c>
      <c r="V248" s="15">
        <f t="shared" si="47"/>
        <v>0</v>
      </c>
      <c r="W248" s="15">
        <f t="shared" si="47"/>
        <v>0</v>
      </c>
      <c r="X248" s="15">
        <f t="shared" si="47"/>
        <v>0</v>
      </c>
      <c r="Y248" s="15">
        <f t="shared" si="47"/>
        <v>-58118.112000000001</v>
      </c>
      <c r="Z248" s="15"/>
      <c r="AA248" s="15" t="s">
        <v>29</v>
      </c>
      <c r="AB248" s="15">
        <f t="shared" si="48"/>
        <v>-65324.196000000004</v>
      </c>
      <c r="AC248" s="15">
        <f t="shared" si="48"/>
        <v>-134795.96</v>
      </c>
      <c r="AD248" s="15">
        <f t="shared" si="48"/>
        <v>0</v>
      </c>
      <c r="AE248" s="15">
        <f t="shared" si="48"/>
        <v>0</v>
      </c>
      <c r="AF248" s="15">
        <f t="shared" si="48"/>
        <v>0</v>
      </c>
      <c r="AG248" s="15">
        <f t="shared" si="48"/>
        <v>-59102.844000000005</v>
      </c>
      <c r="AH248" s="27">
        <f t="shared" si="49"/>
        <v>0</v>
      </c>
    </row>
    <row r="249" spans="1:34" x14ac:dyDescent="0.25">
      <c r="C249" s="26" t="s">
        <v>67</v>
      </c>
      <c r="D249" s="26" t="s">
        <v>67</v>
      </c>
      <c r="E249" s="26" t="s">
        <v>67</v>
      </c>
      <c r="F249" s="26" t="s">
        <v>67</v>
      </c>
      <c r="G249" s="26" t="s">
        <v>67</v>
      </c>
      <c r="H249" s="26" t="s">
        <v>67</v>
      </c>
      <c r="I249" s="26" t="s">
        <v>67</v>
      </c>
      <c r="J249" s="26" t="s">
        <v>67</v>
      </c>
      <c r="K249" s="26" t="s">
        <v>67</v>
      </c>
      <c r="L249" s="26" t="s">
        <v>67</v>
      </c>
      <c r="M249" s="26" t="s">
        <v>67</v>
      </c>
      <c r="N249" s="26" t="s">
        <v>67</v>
      </c>
      <c r="O249" s="26" t="s">
        <v>67</v>
      </c>
      <c r="P249" s="26" t="s">
        <v>67</v>
      </c>
      <c r="Q249" s="26" t="s">
        <v>67</v>
      </c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27"/>
    </row>
    <row r="250" spans="1:34" x14ac:dyDescent="0.25">
      <c r="A250" s="21" t="s">
        <v>352</v>
      </c>
      <c r="B250" s="22"/>
      <c r="C250" s="23">
        <v>-7934832</v>
      </c>
      <c r="D250" s="23">
        <v>-8436228</v>
      </c>
      <c r="E250" s="23">
        <v>-8521619</v>
      </c>
      <c r="F250" s="23">
        <v>-8761486</v>
      </c>
      <c r="G250" s="23">
        <v>-9309186</v>
      </c>
      <c r="H250" s="23">
        <v>-9393367</v>
      </c>
      <c r="I250" s="23">
        <v>-9888963</v>
      </c>
      <c r="J250" s="23">
        <v>-10433452</v>
      </c>
      <c r="K250" s="23">
        <v>-10511123</v>
      </c>
      <c r="L250" s="23">
        <v>-10752798</v>
      </c>
      <c r="M250" s="23">
        <v>-10838664</v>
      </c>
      <c r="N250" s="23">
        <v>-10921564</v>
      </c>
      <c r="O250" s="23">
        <v>-14022271</v>
      </c>
      <c r="P250" s="23">
        <v>-129725553</v>
      </c>
      <c r="Q250" s="23">
        <v>-9978889</v>
      </c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27"/>
    </row>
    <row r="251" spans="1:34" x14ac:dyDescent="0.25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3"/>
    </row>
    <row r="252" spans="1:34" x14ac:dyDescent="0.25">
      <c r="A252" s="21" t="s">
        <v>353</v>
      </c>
      <c r="B252" s="22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3"/>
    </row>
    <row r="253" spans="1:34" x14ac:dyDescent="0.25">
      <c r="A253" s="13" t="s">
        <v>354</v>
      </c>
      <c r="B253" s="13" t="s">
        <v>355</v>
      </c>
      <c r="C253" s="2">
        <v>453491</v>
      </c>
      <c r="D253" s="2">
        <v>450022</v>
      </c>
      <c r="E253" s="2">
        <v>446542</v>
      </c>
      <c r="F253" s="2">
        <v>443052</v>
      </c>
      <c r="G253" s="2">
        <v>439551</v>
      </c>
      <c r="H253" s="2">
        <v>436039</v>
      </c>
      <c r="I253" s="2">
        <v>432516</v>
      </c>
      <c r="J253" s="2">
        <v>428982</v>
      </c>
      <c r="K253" s="2">
        <v>425438</v>
      </c>
      <c r="L253" s="2">
        <v>421882</v>
      </c>
      <c r="M253" s="2">
        <v>418315</v>
      </c>
      <c r="N253" s="2">
        <v>414738</v>
      </c>
      <c r="O253" s="2">
        <v>411149</v>
      </c>
      <c r="P253" s="2">
        <v>5621717</v>
      </c>
      <c r="Q253" s="2">
        <v>432440</v>
      </c>
      <c r="R253" s="15">
        <f>SUM(T253:Y253)+Q253</f>
        <v>-8.6488000000244938</v>
      </c>
      <c r="S253" s="15" t="s">
        <v>225</v>
      </c>
      <c r="T253" s="15">
        <f t="shared" ref="T253:Y253" si="50">-$Q253*T$3</f>
        <v>-70120.145999999993</v>
      </c>
      <c r="U253" s="15">
        <f t="shared" si="50"/>
        <v>-169391.0724</v>
      </c>
      <c r="V253" s="15">
        <f t="shared" si="50"/>
        <v>-79517.06719999999</v>
      </c>
      <c r="W253" s="15">
        <f t="shared" si="50"/>
        <v>-1535.162</v>
      </c>
      <c r="X253" s="15">
        <f t="shared" si="50"/>
        <v>-480.00840000000005</v>
      </c>
      <c r="Y253" s="15">
        <f t="shared" si="50"/>
        <v>-111405.1928</v>
      </c>
      <c r="Z253" s="15"/>
      <c r="AA253" s="15" t="s">
        <v>225</v>
      </c>
      <c r="AB253" s="15">
        <f t="shared" ref="AB253:AG253" si="51">-$O253*AB$3</f>
        <v>-66667.81035</v>
      </c>
      <c r="AC253" s="15">
        <f t="shared" si="51"/>
        <v>-161051.17478999999</v>
      </c>
      <c r="AD253" s="15">
        <f t="shared" si="51"/>
        <v>-75602.078119999991</v>
      </c>
      <c r="AE253" s="15">
        <f t="shared" si="51"/>
        <v>-1459.5789500000001</v>
      </c>
      <c r="AF253" s="15">
        <f t="shared" si="51"/>
        <v>-456.37539000000004</v>
      </c>
      <c r="AG253" s="15">
        <f t="shared" si="51"/>
        <v>-105920.20538</v>
      </c>
      <c r="AH253" s="27">
        <f>SUM(AB253:AG253)+O253</f>
        <v>-8.2229799999622628</v>
      </c>
    </row>
    <row r="254" spans="1:34" x14ac:dyDescent="0.25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27"/>
    </row>
    <row r="255" spans="1:34" ht="15.75" x14ac:dyDescent="0.3">
      <c r="A255" s="18" t="s">
        <v>356</v>
      </c>
      <c r="B255" s="19"/>
      <c r="C255" s="20">
        <v>-8169545</v>
      </c>
      <c r="D255" s="20">
        <v>-8672435</v>
      </c>
      <c r="E255" s="20">
        <v>-8759330</v>
      </c>
      <c r="F255" s="20">
        <v>-8749066</v>
      </c>
      <c r="G255" s="20">
        <v>-9298292</v>
      </c>
      <c r="H255" s="20">
        <v>-9384010</v>
      </c>
      <c r="I255" s="20">
        <v>-9662703</v>
      </c>
      <c r="J255" s="20">
        <v>-10208750</v>
      </c>
      <c r="K255" s="20">
        <v>-10287992</v>
      </c>
      <c r="L255" s="20">
        <v>-10454659</v>
      </c>
      <c r="M255" s="20">
        <v>-10542118</v>
      </c>
      <c r="N255" s="20">
        <v>-10626620</v>
      </c>
      <c r="O255" s="20">
        <v>-13684461</v>
      </c>
      <c r="P255" s="20">
        <v>-128499980</v>
      </c>
      <c r="Q255" s="20">
        <v>-9884614</v>
      </c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3"/>
    </row>
    <row r="256" spans="1:34" x14ac:dyDescent="0.25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3"/>
    </row>
    <row r="257" spans="1:34" ht="15.75" x14ac:dyDescent="0.3">
      <c r="A257" s="18" t="s">
        <v>357</v>
      </c>
      <c r="B257" s="1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3"/>
    </row>
    <row r="258" spans="1:34" x14ac:dyDescent="0.25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3"/>
    </row>
    <row r="259" spans="1:34" x14ac:dyDescent="0.25">
      <c r="A259" s="21" t="s">
        <v>358</v>
      </c>
      <c r="B259" s="22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3"/>
    </row>
    <row r="260" spans="1:34" x14ac:dyDescent="0.25">
      <c r="A260" s="13" t="s">
        <v>359</v>
      </c>
      <c r="B260" s="13" t="s">
        <v>360</v>
      </c>
      <c r="C260" s="2">
        <v>-2986058</v>
      </c>
      <c r="D260" s="2">
        <v>-2986058</v>
      </c>
      <c r="E260" s="2">
        <v>-2986058</v>
      </c>
      <c r="F260" s="2">
        <v>-2964036</v>
      </c>
      <c r="G260" s="2">
        <v>-2964036</v>
      </c>
      <c r="H260" s="2">
        <v>-2964036</v>
      </c>
      <c r="I260" s="2">
        <v>-2942014</v>
      </c>
      <c r="J260" s="2">
        <v>-2942014</v>
      </c>
      <c r="K260" s="2">
        <v>-2942014</v>
      </c>
      <c r="L260" s="2">
        <v>-2919992</v>
      </c>
      <c r="M260" s="2">
        <v>-2919992</v>
      </c>
      <c r="N260" s="2">
        <v>-2919992</v>
      </c>
      <c r="O260" s="2">
        <v>-2500241</v>
      </c>
      <c r="P260" s="2">
        <v>-37936536</v>
      </c>
      <c r="Q260" s="2">
        <v>-2918195</v>
      </c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3"/>
    </row>
    <row r="261" spans="1:34" x14ac:dyDescent="0.25">
      <c r="A261" s="13" t="s">
        <v>361</v>
      </c>
      <c r="B261" s="13" t="s">
        <v>362</v>
      </c>
      <c r="C261" s="2">
        <v>-538104</v>
      </c>
      <c r="D261" s="2">
        <v>-538104</v>
      </c>
      <c r="E261" s="2">
        <v>-538104</v>
      </c>
      <c r="F261" s="2">
        <v>-684428</v>
      </c>
      <c r="G261" s="2">
        <v>-684428</v>
      </c>
      <c r="H261" s="2">
        <v>-684428</v>
      </c>
      <c r="I261" s="2">
        <v>-691280</v>
      </c>
      <c r="J261" s="2">
        <v>-691280</v>
      </c>
      <c r="K261" s="2">
        <v>-691280</v>
      </c>
      <c r="L261" s="2">
        <v>-707956</v>
      </c>
      <c r="M261" s="2">
        <v>-707956</v>
      </c>
      <c r="N261" s="2">
        <v>-707956</v>
      </c>
      <c r="O261" s="2">
        <v>-590721</v>
      </c>
      <c r="P261" s="2">
        <v>-8456023</v>
      </c>
      <c r="Q261" s="2">
        <v>-650463</v>
      </c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3"/>
    </row>
    <row r="262" spans="1:34" x14ac:dyDescent="0.25">
      <c r="A262" s="13" t="s">
        <v>363</v>
      </c>
      <c r="B262" s="13" t="s">
        <v>364</v>
      </c>
      <c r="C262" s="2">
        <v>73044291</v>
      </c>
      <c r="D262" s="2">
        <v>73044291</v>
      </c>
      <c r="E262" s="2">
        <v>73044291</v>
      </c>
      <c r="F262" s="2">
        <v>73044291</v>
      </c>
      <c r="G262" s="2">
        <v>73044291</v>
      </c>
      <c r="H262" s="2">
        <v>73044291</v>
      </c>
      <c r="I262" s="2">
        <v>73044291</v>
      </c>
      <c r="J262" s="2">
        <v>73044291</v>
      </c>
      <c r="K262" s="2">
        <v>73044291</v>
      </c>
      <c r="L262" s="2">
        <v>73044291</v>
      </c>
      <c r="M262" s="2">
        <v>73044291</v>
      </c>
      <c r="N262" s="2">
        <v>73044291</v>
      </c>
      <c r="O262" s="2">
        <v>73044291</v>
      </c>
      <c r="P262" s="2">
        <v>949575785</v>
      </c>
      <c r="Q262" s="2">
        <v>73044291</v>
      </c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3"/>
    </row>
    <row r="263" spans="1:34" x14ac:dyDescent="0.25">
      <c r="C263" s="26" t="s">
        <v>67</v>
      </c>
      <c r="D263" s="26" t="s">
        <v>67</v>
      </c>
      <c r="E263" s="26" t="s">
        <v>67</v>
      </c>
      <c r="F263" s="26" t="s">
        <v>67</v>
      </c>
      <c r="G263" s="26" t="s">
        <v>67</v>
      </c>
      <c r="H263" s="26" t="s">
        <v>67</v>
      </c>
      <c r="I263" s="26" t="s">
        <v>67</v>
      </c>
      <c r="J263" s="26" t="s">
        <v>67</v>
      </c>
      <c r="K263" s="26" t="s">
        <v>67</v>
      </c>
      <c r="L263" s="26" t="s">
        <v>67</v>
      </c>
      <c r="M263" s="26" t="s">
        <v>67</v>
      </c>
      <c r="N263" s="26" t="s">
        <v>67</v>
      </c>
      <c r="O263" s="26" t="s">
        <v>67</v>
      </c>
      <c r="P263" s="26" t="s">
        <v>67</v>
      </c>
      <c r="Q263" s="26" t="s">
        <v>67</v>
      </c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3"/>
    </row>
    <row r="264" spans="1:34" x14ac:dyDescent="0.25">
      <c r="A264" s="21" t="s">
        <v>365</v>
      </c>
      <c r="B264" s="22"/>
      <c r="C264" s="23">
        <v>69520130</v>
      </c>
      <c r="D264" s="23">
        <v>69520130</v>
      </c>
      <c r="E264" s="23">
        <v>69520130</v>
      </c>
      <c r="F264" s="23">
        <v>69395828</v>
      </c>
      <c r="G264" s="23">
        <v>69395828</v>
      </c>
      <c r="H264" s="23">
        <v>69395828</v>
      </c>
      <c r="I264" s="23">
        <v>69410997</v>
      </c>
      <c r="J264" s="23">
        <v>69410997</v>
      </c>
      <c r="K264" s="23">
        <v>69410997</v>
      </c>
      <c r="L264" s="23">
        <v>69416344</v>
      </c>
      <c r="M264" s="23">
        <v>69416344</v>
      </c>
      <c r="N264" s="23">
        <v>69416344</v>
      </c>
      <c r="O264" s="23">
        <v>69953330</v>
      </c>
      <c r="P264" s="23">
        <v>903183227</v>
      </c>
      <c r="Q264" s="23">
        <v>69475633</v>
      </c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3"/>
    </row>
    <row r="265" spans="1:34" x14ac:dyDescent="0.25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3"/>
    </row>
    <row r="266" spans="1:34" ht="15.75" x14ac:dyDescent="0.3">
      <c r="A266" s="18" t="s">
        <v>366</v>
      </c>
      <c r="B266" s="19"/>
      <c r="C266" s="20">
        <v>69520130</v>
      </c>
      <c r="D266" s="20">
        <v>69520130</v>
      </c>
      <c r="E266" s="20">
        <v>69520130</v>
      </c>
      <c r="F266" s="20">
        <v>69395828</v>
      </c>
      <c r="G266" s="20">
        <v>69395828</v>
      </c>
      <c r="H266" s="20">
        <v>69395828</v>
      </c>
      <c r="I266" s="20">
        <v>69410997</v>
      </c>
      <c r="J266" s="20">
        <v>69410997</v>
      </c>
      <c r="K266" s="20">
        <v>69410997</v>
      </c>
      <c r="L266" s="20">
        <v>69416344</v>
      </c>
      <c r="M266" s="20">
        <v>69416344</v>
      </c>
      <c r="N266" s="20">
        <v>69416344</v>
      </c>
      <c r="O266" s="20">
        <v>69953330</v>
      </c>
      <c r="P266" s="20">
        <v>903183227</v>
      </c>
      <c r="Q266" s="20">
        <v>69475633</v>
      </c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3"/>
    </row>
    <row r="267" spans="1:34" x14ac:dyDescent="0.25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3"/>
    </row>
    <row r="268" spans="1:34" ht="19.5" x14ac:dyDescent="0.4">
      <c r="A268" s="5" t="s">
        <v>367</v>
      </c>
      <c r="B268" s="16"/>
      <c r="C268" s="17">
        <v>68216866</v>
      </c>
      <c r="D268" s="17">
        <v>69709087</v>
      </c>
      <c r="E268" s="17">
        <v>73670280</v>
      </c>
      <c r="F268" s="17">
        <v>69745464</v>
      </c>
      <c r="G268" s="17">
        <v>68559470</v>
      </c>
      <c r="H268" s="17">
        <v>69694041</v>
      </c>
      <c r="I268" s="17">
        <v>69555733</v>
      </c>
      <c r="J268" s="17">
        <v>66389332</v>
      </c>
      <c r="K268" s="17">
        <v>65370695</v>
      </c>
      <c r="L268" s="17">
        <v>69743385</v>
      </c>
      <c r="M268" s="17">
        <v>68159672</v>
      </c>
      <c r="N268" s="17">
        <v>64712047</v>
      </c>
      <c r="O268" s="17">
        <v>60047940</v>
      </c>
      <c r="P268" s="17">
        <v>883574013</v>
      </c>
      <c r="Q268" s="17">
        <v>67967232</v>
      </c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3"/>
    </row>
    <row r="269" spans="1:34" x14ac:dyDescent="0.25">
      <c r="C269" s="26" t="s">
        <v>231</v>
      </c>
      <c r="D269" s="26" t="s">
        <v>231</v>
      </c>
      <c r="E269" s="26" t="s">
        <v>231</v>
      </c>
      <c r="F269" s="26" t="s">
        <v>231</v>
      </c>
      <c r="G269" s="26" t="s">
        <v>231</v>
      </c>
      <c r="H269" s="26" t="s">
        <v>231</v>
      </c>
      <c r="I269" s="26" t="s">
        <v>231</v>
      </c>
      <c r="J269" s="26" t="s">
        <v>231</v>
      </c>
      <c r="K269" s="26" t="s">
        <v>231</v>
      </c>
      <c r="L269" s="26" t="s">
        <v>231</v>
      </c>
      <c r="M269" s="26" t="s">
        <v>231</v>
      </c>
      <c r="N269" s="26" t="s">
        <v>231</v>
      </c>
      <c r="O269" s="26" t="s">
        <v>231</v>
      </c>
      <c r="P269" s="26" t="s">
        <v>231</v>
      </c>
      <c r="Q269" s="26" t="s">
        <v>231</v>
      </c>
      <c r="R269" s="15"/>
      <c r="S269" s="15"/>
      <c r="T269" s="61">
        <f t="shared" ref="T269:Y269" si="52">SUM(T79:T268)-SUM(T216:T232)-T237-T238</f>
        <v>1612056.284596154</v>
      </c>
      <c r="U269" s="61">
        <f t="shared" si="52"/>
        <v>3563613.1941423076</v>
      </c>
      <c r="V269" s="61">
        <f t="shared" si="52"/>
        <v>-613418.50963076926</v>
      </c>
      <c r="W269" s="61">
        <f t="shared" si="52"/>
        <v>-8558.959480769232</v>
      </c>
      <c r="X269" s="61">
        <f t="shared" si="52"/>
        <v>-6872.5022807692312</v>
      </c>
      <c r="Y269" s="61">
        <f t="shared" si="52"/>
        <v>1027843.4167846154</v>
      </c>
      <c r="Z269" s="61"/>
      <c r="AA269" s="61"/>
      <c r="AB269" s="61">
        <f t="shared" ref="AB269:AG269" si="53">SUM(AB79:AB268)-SUM(AB216:AB232)-AB237-AB238</f>
        <v>3476937.5311499997</v>
      </c>
      <c r="AC269" s="61">
        <f t="shared" si="53"/>
        <v>7120875.113210001</v>
      </c>
      <c r="AD269" s="61">
        <f t="shared" si="53"/>
        <v>-35121.139519999946</v>
      </c>
      <c r="AE269" s="61">
        <f t="shared" si="53"/>
        <v>-2563.2778499999995</v>
      </c>
      <c r="AF269" s="61">
        <f t="shared" si="53"/>
        <v>-1758.3520900000001</v>
      </c>
      <c r="AG269" s="61">
        <f t="shared" si="53"/>
        <v>3118176.2955199997</v>
      </c>
      <c r="AH269" s="3"/>
    </row>
    <row r="270" spans="1:34" x14ac:dyDescent="0.25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3"/>
    </row>
    <row r="271" spans="1:34" x14ac:dyDescent="0.25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3"/>
    </row>
    <row r="272" spans="1:34" x14ac:dyDescent="0.25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 x14ac:dyDescent="0.25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 x14ac:dyDescent="0.25">
      <c r="A274" s="13" t="s">
        <v>368</v>
      </c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62" t="s">
        <v>369</v>
      </c>
      <c r="R274" s="3"/>
      <c r="S274" s="3"/>
      <c r="T274" s="3"/>
      <c r="U274" s="3" t="s">
        <v>370</v>
      </c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 x14ac:dyDescent="0.25">
      <c r="A275" s="13" t="s">
        <v>371</v>
      </c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62" t="s">
        <v>372</v>
      </c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 x14ac:dyDescent="0.25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 x14ac:dyDescent="0.25">
      <c r="A277" s="35"/>
      <c r="B277" s="35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 x14ac:dyDescent="0.25">
      <c r="A278" s="35"/>
      <c r="B278" s="35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 x14ac:dyDescent="0.25">
      <c r="A279" s="35"/>
      <c r="B279" s="35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 x14ac:dyDescent="0.25">
      <c r="A280" s="35"/>
      <c r="B280" s="35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 x14ac:dyDescent="0.25">
      <c r="A281" s="35"/>
      <c r="B281" s="35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24"/>
      <c r="P282" s="24"/>
      <c r="Q282" s="24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24"/>
      <c r="P283" s="24"/>
      <c r="Q283" s="24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24"/>
      <c r="P284" s="24"/>
      <c r="Q284" s="24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24"/>
      <c r="P285" s="24"/>
      <c r="Q285" s="24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24"/>
      <c r="P286" s="24"/>
      <c r="Q286" s="24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24"/>
      <c r="P287" s="24"/>
      <c r="Q287" s="24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24"/>
      <c r="P288" s="24"/>
      <c r="Q288" s="24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24"/>
      <c r="P289" s="24"/>
      <c r="Q289" s="24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24"/>
      <c r="P290" s="24"/>
      <c r="Q290" s="24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24"/>
      <c r="P291" s="24"/>
      <c r="Q291" s="24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24"/>
      <c r="P292" s="24"/>
      <c r="Q292" s="24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24"/>
      <c r="P293" s="24"/>
      <c r="Q293" s="24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24"/>
      <c r="P294" s="24"/>
      <c r="Q294" s="24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24"/>
      <c r="P295" s="24"/>
      <c r="Q295" s="24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24"/>
      <c r="P296" s="24"/>
      <c r="Q296" s="24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24"/>
      <c r="P297" s="24"/>
      <c r="Q297" s="24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24"/>
      <c r="P298" s="24"/>
      <c r="Q298" s="24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24"/>
      <c r="P299" s="24"/>
      <c r="Q299" s="24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24"/>
      <c r="P300" s="24"/>
      <c r="Q300" s="24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24"/>
      <c r="P301" s="24"/>
      <c r="Q301" s="24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24"/>
      <c r="P302" s="24"/>
      <c r="Q302" s="24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24"/>
      <c r="P303" s="24"/>
      <c r="Q303" s="24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 x14ac:dyDescent="0.25">
      <c r="A304" s="35"/>
      <c r="B304" s="35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 x14ac:dyDescent="0.25">
      <c r="A305" s="35"/>
      <c r="B305" s="35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 x14ac:dyDescent="0.25">
      <c r="A306" s="35"/>
      <c r="B306" s="35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 x14ac:dyDescent="0.25">
      <c r="A307" s="35"/>
      <c r="B307" s="35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 x14ac:dyDescent="0.25">
      <c r="A308" s="35"/>
      <c r="B308" s="35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64"/>
      <c r="P309" s="64"/>
      <c r="Q309" s="64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topLeftCell="A30" workbookViewId="0">
      <selection activeCell="A32" sqref="A32"/>
    </sheetView>
  </sheetViews>
  <sheetFormatPr defaultRowHeight="15" x14ac:dyDescent="0.25"/>
  <cols>
    <col min="1" max="1" width="61.7109375" bestFit="1" customWidth="1"/>
    <col min="2" max="14" width="11.28515625" bestFit="1" customWidth="1"/>
    <col min="15" max="15" width="11.5703125" bestFit="1" customWidth="1"/>
    <col min="16" max="16" width="4.7109375" bestFit="1" customWidth="1"/>
    <col min="17" max="17" width="12.7109375" bestFit="1" customWidth="1"/>
    <col min="18" max="18" width="13.28515625" bestFit="1" customWidth="1"/>
    <col min="19" max="19" width="12.140625" customWidth="1"/>
    <col min="20" max="20" width="11.42578125" customWidth="1"/>
    <col min="21" max="21" width="8.85546875" customWidth="1"/>
    <col min="22" max="22" width="8.42578125" bestFit="1" customWidth="1"/>
    <col min="23" max="23" width="12.140625" customWidth="1"/>
    <col min="25" max="25" width="8.42578125" bestFit="1" customWidth="1"/>
    <col min="26" max="28" width="11.42578125" bestFit="1" customWidth="1"/>
    <col min="29" max="29" width="9.28515625" bestFit="1" customWidth="1"/>
    <col min="30" max="30" width="8.42578125" bestFit="1" customWidth="1"/>
    <col min="31" max="31" width="11.85546875" bestFit="1" customWidth="1"/>
  </cols>
  <sheetData>
    <row r="1" spans="1:31" ht="15.75" x14ac:dyDescent="0.25">
      <c r="A1" s="112" t="s">
        <v>450</v>
      </c>
      <c r="Q1" s="4"/>
      <c r="R1" s="113" t="s">
        <v>2</v>
      </c>
      <c r="S1" s="4"/>
      <c r="T1" s="4"/>
      <c r="U1" s="4"/>
      <c r="V1" s="4"/>
      <c r="W1" s="4"/>
      <c r="X1" s="4"/>
      <c r="Y1" s="4" t="s">
        <v>1</v>
      </c>
      <c r="Z1" s="4" t="s">
        <v>3</v>
      </c>
      <c r="AA1" s="4"/>
      <c r="AB1" s="4"/>
      <c r="AC1" s="4"/>
      <c r="AD1" s="4"/>
      <c r="AE1" s="4"/>
    </row>
    <row r="2" spans="1:31" x14ac:dyDescent="0.25">
      <c r="Q2" s="4" t="s">
        <v>5</v>
      </c>
      <c r="R2" s="4" t="s">
        <v>6</v>
      </c>
      <c r="S2" s="4" t="s">
        <v>7</v>
      </c>
      <c r="T2" s="4" t="s">
        <v>8</v>
      </c>
      <c r="U2" s="4" t="s">
        <v>9</v>
      </c>
      <c r="V2" s="4" t="s">
        <v>10</v>
      </c>
      <c r="W2" s="4" t="s">
        <v>11</v>
      </c>
      <c r="X2" s="4"/>
      <c r="Y2" s="4" t="s">
        <v>5</v>
      </c>
      <c r="Z2" s="4" t="s">
        <v>6</v>
      </c>
      <c r="AA2" s="4" t="s">
        <v>7</v>
      </c>
      <c r="AB2" s="4" t="s">
        <v>8</v>
      </c>
      <c r="AC2" s="4" t="s">
        <v>9</v>
      </c>
      <c r="AD2" s="4" t="s">
        <v>10</v>
      </c>
      <c r="AE2" s="4" t="s">
        <v>11</v>
      </c>
    </row>
    <row r="3" spans="1:31" x14ac:dyDescent="0.25">
      <c r="Q3" s="4" t="s">
        <v>451</v>
      </c>
      <c r="R3" s="104">
        <f>'[1]Common Plant Allocation Factors'!C24</f>
        <v>7.9662094019411156E-2</v>
      </c>
      <c r="S3" s="104">
        <f>'[1]Common Plant Allocation Factors'!E24</f>
        <v>0.19003155668817437</v>
      </c>
      <c r="T3" s="104">
        <f>'[1]Common Plant Allocation Factors'!B24</f>
        <v>7.9590522149324952E-2</v>
      </c>
      <c r="U3" s="104">
        <f>'[1]Common Plant Allocation Factors'!D24</f>
        <v>1.0011386433877352E-3</v>
      </c>
      <c r="V3" s="104">
        <f>'[1]Common Plant Allocation Factors'!F24</f>
        <v>1.869544000433769E-4</v>
      </c>
      <c r="W3" s="104">
        <f>'[1]Common Plant Allocation Factors'!G24</f>
        <v>0.64952773409965836</v>
      </c>
      <c r="X3" s="4"/>
      <c r="Y3" s="4" t="s">
        <v>452</v>
      </c>
      <c r="Z3" s="104">
        <f>R3</f>
        <v>7.9662094019411156E-2</v>
      </c>
      <c r="AA3" s="104">
        <f t="shared" ref="AA3:AE3" si="0">S3</f>
        <v>0.19003155668817437</v>
      </c>
      <c r="AB3" s="104">
        <f t="shared" si="0"/>
        <v>7.9590522149324952E-2</v>
      </c>
      <c r="AC3" s="104">
        <f t="shared" si="0"/>
        <v>1.0011386433877352E-3</v>
      </c>
      <c r="AD3" s="104">
        <f t="shared" si="0"/>
        <v>1.869544000433769E-4</v>
      </c>
      <c r="AE3" s="104">
        <f t="shared" si="0"/>
        <v>0.64952773409965836</v>
      </c>
    </row>
    <row r="4" spans="1:31" x14ac:dyDescent="0.25"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26.25" x14ac:dyDescent="0.25">
      <c r="A5" s="112" t="s">
        <v>453</v>
      </c>
      <c r="B5" s="114">
        <v>44915</v>
      </c>
      <c r="C5" s="114">
        <v>44582</v>
      </c>
      <c r="D5" s="114">
        <v>44613</v>
      </c>
      <c r="E5" s="114">
        <v>44641</v>
      </c>
      <c r="F5" s="114">
        <v>44672</v>
      </c>
      <c r="G5" s="114">
        <v>44702</v>
      </c>
      <c r="H5" s="114">
        <v>44733</v>
      </c>
      <c r="I5" s="114">
        <v>44763</v>
      </c>
      <c r="J5" s="114">
        <v>44794</v>
      </c>
      <c r="K5" s="114">
        <v>44825</v>
      </c>
      <c r="L5" s="114">
        <v>44855</v>
      </c>
      <c r="M5" s="114">
        <v>44886</v>
      </c>
      <c r="N5" s="114">
        <v>44916</v>
      </c>
      <c r="O5" s="115" t="s">
        <v>12</v>
      </c>
      <c r="Q5" s="4"/>
      <c r="R5" s="6"/>
      <c r="S5" s="6"/>
      <c r="T5" s="6"/>
      <c r="U5" s="6"/>
      <c r="V5" s="6"/>
      <c r="W5" s="6"/>
      <c r="X5" s="4"/>
      <c r="Y5" s="4"/>
      <c r="Z5" s="6"/>
      <c r="AA5" s="6"/>
      <c r="AB5" s="6"/>
      <c r="AC5" s="6"/>
      <c r="AD5" s="6"/>
      <c r="AE5" s="6"/>
    </row>
    <row r="6" spans="1:31" x14ac:dyDescent="0.25">
      <c r="A6" s="116" t="s">
        <v>454</v>
      </c>
      <c r="B6" s="117">
        <f>SUM(B7:B16)</f>
        <v>14389776.240000002</v>
      </c>
      <c r="C6" s="117">
        <f t="shared" ref="C6:O6" si="1">SUM(C7:C16)</f>
        <v>14399872.160000004</v>
      </c>
      <c r="D6" s="117">
        <f t="shared" si="1"/>
        <v>14217086.630000005</v>
      </c>
      <c r="E6" s="117">
        <f t="shared" si="1"/>
        <v>14331910.310000002</v>
      </c>
      <c r="F6" s="117">
        <f t="shared" si="1"/>
        <v>14402447.750000002</v>
      </c>
      <c r="G6" s="117">
        <f t="shared" si="1"/>
        <v>14488993.130000001</v>
      </c>
      <c r="H6" s="117">
        <f t="shared" si="1"/>
        <v>14599094.330000002</v>
      </c>
      <c r="I6" s="117">
        <f t="shared" si="1"/>
        <v>14726238.840000002</v>
      </c>
      <c r="J6" s="117">
        <f t="shared" si="1"/>
        <v>14934878.860000001</v>
      </c>
      <c r="K6" s="117">
        <f t="shared" si="1"/>
        <v>15033615.440000003</v>
      </c>
      <c r="L6" s="117">
        <f t="shared" si="1"/>
        <v>15326651.670000004</v>
      </c>
      <c r="M6" s="117">
        <f t="shared" si="1"/>
        <v>15323172.600000003</v>
      </c>
      <c r="N6" s="117">
        <f t="shared" si="1"/>
        <v>15392407.290000001</v>
      </c>
      <c r="O6" s="117">
        <f t="shared" si="1"/>
        <v>14735857.326923078</v>
      </c>
      <c r="Q6" s="4"/>
      <c r="R6" s="122">
        <f>$O6*R$3</f>
        <v>1173889.2518339751</v>
      </c>
      <c r="S6" s="122">
        <f t="shared" ref="S6:W18" si="2">$O6*S$3</f>
        <v>2800277.9069700325</v>
      </c>
      <c r="T6" s="122">
        <f t="shared" si="2"/>
        <v>1172834.5789677636</v>
      </c>
      <c r="U6" s="122">
        <f t="shared" si="2"/>
        <v>14752.636213430987</v>
      </c>
      <c r="V6" s="122">
        <f t="shared" si="2"/>
        <v>2754.9333656797035</v>
      </c>
      <c r="W6" s="122">
        <f t="shared" si="2"/>
        <v>9571348.0195721947</v>
      </c>
      <c r="X6" s="123"/>
      <c r="Y6" s="123"/>
      <c r="Z6" s="122">
        <f>$N6*Z$3</f>
        <v>1226191.3967210497</v>
      </c>
      <c r="AA6" s="122">
        <f t="shared" ref="AA6:AE18" si="3">$N6*AA$3</f>
        <v>2925043.1184971035</v>
      </c>
      <c r="AB6" s="122">
        <f t="shared" si="3"/>
        <v>1225089.7333461759</v>
      </c>
      <c r="AC6" s="122">
        <f t="shared" si="3"/>
        <v>15409.933752782086</v>
      </c>
      <c r="AD6" s="122">
        <f t="shared" si="3"/>
        <v>2877.6782701252509</v>
      </c>
      <c r="AE6" s="122">
        <f t="shared" si="3"/>
        <v>9997795.4294127636</v>
      </c>
    </row>
    <row r="7" spans="1:31" x14ac:dyDescent="0.25">
      <c r="A7" t="s">
        <v>455</v>
      </c>
      <c r="B7" s="68">
        <v>5966.29</v>
      </c>
      <c r="C7" s="68">
        <v>5966.29</v>
      </c>
      <c r="D7" s="68">
        <v>5966.29</v>
      </c>
      <c r="E7" s="68">
        <v>5966.29</v>
      </c>
      <c r="F7" s="68">
        <v>5966.29</v>
      </c>
      <c r="G7" s="68">
        <v>5966.29</v>
      </c>
      <c r="H7" s="68">
        <v>5966.29</v>
      </c>
      <c r="I7" s="68">
        <v>5966.29</v>
      </c>
      <c r="J7" s="68">
        <v>5966.29</v>
      </c>
      <c r="K7" s="68">
        <v>5966.29</v>
      </c>
      <c r="L7" s="68">
        <v>5966.29</v>
      </c>
      <c r="M7" s="68">
        <v>5966.29</v>
      </c>
      <c r="N7" s="68">
        <v>5966.29</v>
      </c>
      <c r="O7" s="68">
        <f>SUM(B7:N7)/13</f>
        <v>5966.2899999999991</v>
      </c>
      <c r="R7" s="124">
        <f t="shared" ref="R7:W20" si="4">$O7*R$3</f>
        <v>475.28715492707249</v>
      </c>
      <c r="S7" s="124">
        <f t="shared" si="2"/>
        <v>1133.7833763530878</v>
      </c>
      <c r="T7" s="124">
        <f t="shared" si="2"/>
        <v>474.86013639429592</v>
      </c>
      <c r="U7" s="124">
        <f t="shared" si="2"/>
        <v>5.9730834766578091</v>
      </c>
      <c r="V7" s="124">
        <f t="shared" si="2"/>
        <v>1.1154241674347989</v>
      </c>
      <c r="W7" s="124">
        <f t="shared" si="2"/>
        <v>3875.27082468145</v>
      </c>
      <c r="X7" s="125"/>
      <c r="Y7" s="125"/>
      <c r="Z7" s="124">
        <f t="shared" ref="Z7:AE20" si="5">$N7*Z$3</f>
        <v>475.28715492707261</v>
      </c>
      <c r="AA7" s="124">
        <f t="shared" si="3"/>
        <v>1133.7833763530878</v>
      </c>
      <c r="AB7" s="124">
        <f t="shared" si="3"/>
        <v>474.86013639429598</v>
      </c>
      <c r="AC7" s="124">
        <f t="shared" si="3"/>
        <v>5.97308347665781</v>
      </c>
      <c r="AD7" s="124">
        <f t="shared" si="3"/>
        <v>1.1154241674347991</v>
      </c>
      <c r="AE7" s="124">
        <f t="shared" si="3"/>
        <v>3875.2708246814504</v>
      </c>
    </row>
    <row r="8" spans="1:31" x14ac:dyDescent="0.25">
      <c r="A8" t="s">
        <v>434</v>
      </c>
      <c r="B8" s="68">
        <v>5204446.2700000005</v>
      </c>
      <c r="C8" s="68">
        <v>5204446.2700000005</v>
      </c>
      <c r="D8" s="68">
        <v>5047142.1800000006</v>
      </c>
      <c r="E8" s="68">
        <v>5047142.1800000006</v>
      </c>
      <c r="F8" s="68">
        <v>5047142.1800000006</v>
      </c>
      <c r="G8" s="68">
        <v>5047142.1800000006</v>
      </c>
      <c r="H8" s="68">
        <v>5047142.1800000006</v>
      </c>
      <c r="I8" s="68">
        <v>5047142.1800000006</v>
      </c>
      <c r="J8" s="68">
        <v>5047142.1800000006</v>
      </c>
      <c r="K8" s="68">
        <v>5047142.1800000006</v>
      </c>
      <c r="L8" s="68">
        <v>5047142.1800000006</v>
      </c>
      <c r="M8" s="68">
        <v>5047142.1800000006</v>
      </c>
      <c r="N8" s="68">
        <v>5047142.1800000006</v>
      </c>
      <c r="O8" s="68">
        <f t="shared" ref="O8:O19" si="6">SUM(B8:N8)/13</f>
        <v>5071342.8092307691</v>
      </c>
      <c r="R8" s="124">
        <f t="shared" si="4"/>
        <v>403993.78767360625</v>
      </c>
      <c r="S8" s="124">
        <f t="shared" si="2"/>
        <v>963715.16853750229</v>
      </c>
      <c r="T8" s="124">
        <f t="shared" si="2"/>
        <v>403630.82218490134</v>
      </c>
      <c r="U8" s="124">
        <f t="shared" si="2"/>
        <v>5077.1172601874378</v>
      </c>
      <c r="V8" s="124">
        <f t="shared" si="2"/>
        <v>948.10985231403197</v>
      </c>
      <c r="W8" s="124">
        <f t="shared" si="2"/>
        <v>3293977.8037222573</v>
      </c>
      <c r="X8" s="125"/>
      <c r="Y8" s="125"/>
      <c r="Z8" s="124">
        <f t="shared" si="5"/>
        <v>402065.91487249581</v>
      </c>
      <c r="AA8" s="124">
        <f t="shared" si="3"/>
        <v>959116.28529194603</v>
      </c>
      <c r="AB8" s="124">
        <f t="shared" si="3"/>
        <v>401704.6814680823</v>
      </c>
      <c r="AC8" s="124">
        <f t="shared" si="3"/>
        <v>5052.8890750702167</v>
      </c>
      <c r="AD8" s="124">
        <f t="shared" si="3"/>
        <v>943.58543819552153</v>
      </c>
      <c r="AE8" s="124">
        <f t="shared" si="3"/>
        <v>3278258.8238542103</v>
      </c>
    </row>
    <row r="9" spans="1:31" x14ac:dyDescent="0.25">
      <c r="A9" t="s">
        <v>456</v>
      </c>
      <c r="B9" s="68">
        <v>421491.92</v>
      </c>
      <c r="C9" s="68">
        <v>421491.92</v>
      </c>
      <c r="D9" s="68">
        <v>421491.92</v>
      </c>
      <c r="E9" s="68">
        <v>421491.92</v>
      </c>
      <c r="F9" s="68">
        <v>421491.92</v>
      </c>
      <c r="G9" s="68">
        <v>421491.92</v>
      </c>
      <c r="H9" s="68">
        <v>421491.92</v>
      </c>
      <c r="I9" s="68">
        <v>421491.92</v>
      </c>
      <c r="J9" s="68">
        <v>421491.92</v>
      </c>
      <c r="K9" s="68">
        <v>421491.92</v>
      </c>
      <c r="L9" s="68">
        <v>421491.92</v>
      </c>
      <c r="M9" s="68">
        <v>421491.92</v>
      </c>
      <c r="N9" s="68">
        <v>421491.92</v>
      </c>
      <c r="O9" s="68">
        <f t="shared" si="6"/>
        <v>421491.92</v>
      </c>
      <c r="R9" s="124">
        <f t="shared" si="4"/>
        <v>33576.928959462122</v>
      </c>
      <c r="S9" s="124">
        <f t="shared" si="2"/>
        <v>80096.76568908745</v>
      </c>
      <c r="T9" s="124">
        <f t="shared" si="2"/>
        <v>33546.761994521497</v>
      </c>
      <c r="U9" s="124">
        <f t="shared" si="2"/>
        <v>421.97184898769177</v>
      </c>
      <c r="V9" s="124">
        <f t="shared" si="2"/>
        <v>78.799769026731013</v>
      </c>
      <c r="W9" s="124">
        <f t="shared" si="2"/>
        <v>273770.69173891447</v>
      </c>
      <c r="X9" s="125"/>
      <c r="Y9" s="125"/>
      <c r="Z9" s="124">
        <f t="shared" si="5"/>
        <v>33576.928959462122</v>
      </c>
      <c r="AA9" s="124">
        <f t="shared" si="3"/>
        <v>80096.76568908745</v>
      </c>
      <c r="AB9" s="124">
        <f t="shared" si="3"/>
        <v>33546.761994521497</v>
      </c>
      <c r="AC9" s="124">
        <f t="shared" si="3"/>
        <v>421.97184898769177</v>
      </c>
      <c r="AD9" s="124">
        <f t="shared" si="3"/>
        <v>78.799769026731013</v>
      </c>
      <c r="AE9" s="124">
        <f t="shared" si="3"/>
        <v>273770.69173891447</v>
      </c>
    </row>
    <row r="10" spans="1:31" x14ac:dyDescent="0.25">
      <c r="A10" t="s">
        <v>435</v>
      </c>
      <c r="B10" s="68">
        <v>1110199.5099999998</v>
      </c>
      <c r="C10" s="68">
        <v>1110199.5099999998</v>
      </c>
      <c r="D10" s="68">
        <v>1119766.2299999997</v>
      </c>
      <c r="E10" s="68">
        <v>1193136.53</v>
      </c>
      <c r="F10" s="68">
        <v>1193136.53</v>
      </c>
      <c r="G10" s="68">
        <v>1195878.7100000002</v>
      </c>
      <c r="H10" s="68">
        <v>1182442.1100000001</v>
      </c>
      <c r="I10" s="68">
        <v>1182442.1100000001</v>
      </c>
      <c r="J10" s="68">
        <v>1182442.1100000001</v>
      </c>
      <c r="K10" s="68">
        <v>1182442.1100000001</v>
      </c>
      <c r="L10" s="68">
        <v>1182442.1100000001</v>
      </c>
      <c r="M10" s="68">
        <v>1182442.1100000001</v>
      </c>
      <c r="N10" s="68">
        <v>1182442.1100000001</v>
      </c>
      <c r="O10" s="68">
        <f t="shared" si="6"/>
        <v>1169185.5223076921</v>
      </c>
      <c r="R10" s="124">
        <f t="shared" si="4"/>
        <v>93139.767004209702</v>
      </c>
      <c r="S10" s="124">
        <f t="shared" si="2"/>
        <v>222182.14486140694</v>
      </c>
      <c r="T10" s="124">
        <f t="shared" si="2"/>
        <v>93056.08620990043</v>
      </c>
      <c r="U10" s="124">
        <f t="shared" si="2"/>
        <v>1170.5168076717034</v>
      </c>
      <c r="V10" s="124">
        <f t="shared" si="2"/>
        <v>218.58437786243684</v>
      </c>
      <c r="W10" s="124">
        <f t="shared" si="2"/>
        <v>759418.42304664082</v>
      </c>
      <c r="X10" s="125"/>
      <c r="Y10" s="125"/>
      <c r="Z10" s="124">
        <f t="shared" si="5"/>
        <v>94195.81453933091</v>
      </c>
      <c r="AA10" s="124">
        <f t="shared" si="3"/>
        <v>224701.31485694952</v>
      </c>
      <c r="AB10" s="124">
        <f t="shared" si="3"/>
        <v>94111.184946249545</v>
      </c>
      <c r="AC10" s="124">
        <f t="shared" si="3"/>
        <v>1183.7884898899313</v>
      </c>
      <c r="AD10" s="124">
        <f t="shared" si="3"/>
        <v>221.0627552610747</v>
      </c>
      <c r="AE10" s="124">
        <f t="shared" si="3"/>
        <v>768028.94441231911</v>
      </c>
    </row>
    <row r="11" spans="1:31" x14ac:dyDescent="0.25">
      <c r="A11" t="s">
        <v>457</v>
      </c>
      <c r="B11" s="68">
        <v>3817517.6700000013</v>
      </c>
      <c r="C11" s="68">
        <v>3821752.0400000024</v>
      </c>
      <c r="D11" s="68">
        <v>3822561.0000000023</v>
      </c>
      <c r="E11" s="68">
        <v>3810907.0000000023</v>
      </c>
      <c r="F11" s="68">
        <v>3800958.6200000015</v>
      </c>
      <c r="G11" s="68">
        <v>3802145.390000002</v>
      </c>
      <c r="H11" s="68">
        <v>3793826.390000002</v>
      </c>
      <c r="I11" s="68">
        <v>3793826.390000002</v>
      </c>
      <c r="J11" s="68">
        <v>3791738.3900000011</v>
      </c>
      <c r="K11" s="68">
        <v>3850064.3900000011</v>
      </c>
      <c r="L11" s="68">
        <v>3856926.3900000011</v>
      </c>
      <c r="M11" s="68">
        <v>3852154.0300000017</v>
      </c>
      <c r="N11" s="68">
        <v>3850066.0300000017</v>
      </c>
      <c r="O11" s="68">
        <f t="shared" si="6"/>
        <v>3820341.8253846169</v>
      </c>
      <c r="R11" s="124">
        <f t="shared" si="4"/>
        <v>304336.42968007817</v>
      </c>
      <c r="S11" s="124">
        <f t="shared" si="2"/>
        <v>725985.50415878033</v>
      </c>
      <c r="T11" s="124">
        <f t="shared" si="2"/>
        <v>304063.00067126687</v>
      </c>
      <c r="U11" s="124">
        <f t="shared" si="2"/>
        <v>3824.6918323429791</v>
      </c>
      <c r="V11" s="124">
        <f t="shared" si="2"/>
        <v>714.22971392540035</v>
      </c>
      <c r="W11" s="124">
        <f t="shared" si="2"/>
        <v>2481417.9693282228</v>
      </c>
      <c r="X11" s="125"/>
      <c r="Y11" s="125"/>
      <c r="Z11" s="124">
        <f t="shared" si="5"/>
        <v>306704.32206280116</v>
      </c>
      <c r="AA11" s="124">
        <f t="shared" si="3"/>
        <v>731634.04103315971</v>
      </c>
      <c r="AB11" s="124">
        <f t="shared" si="3"/>
        <v>306428.76563707873</v>
      </c>
      <c r="AC11" s="124">
        <f t="shared" si="3"/>
        <v>3854.4498822274049</v>
      </c>
      <c r="AD11" s="124">
        <f t="shared" si="3"/>
        <v>719.78678476603625</v>
      </c>
      <c r="AE11" s="124">
        <f t="shared" si="3"/>
        <v>2500724.6645999686</v>
      </c>
    </row>
    <row r="12" spans="1:31" x14ac:dyDescent="0.25">
      <c r="A12" t="s">
        <v>436</v>
      </c>
      <c r="B12" s="68">
        <v>408872.10000000003</v>
      </c>
      <c r="C12" s="68">
        <v>408872.10000000003</v>
      </c>
      <c r="D12" s="68">
        <v>349634.40000000008</v>
      </c>
      <c r="E12" s="68">
        <v>343422.68000000005</v>
      </c>
      <c r="F12" s="68">
        <v>330586.02</v>
      </c>
      <c r="G12" s="68">
        <v>362249.77</v>
      </c>
      <c r="H12" s="68">
        <v>416778.64999999997</v>
      </c>
      <c r="I12" s="68">
        <v>451533.37</v>
      </c>
      <c r="J12" s="68">
        <v>597442.09</v>
      </c>
      <c r="K12" s="68">
        <v>637795.80999999994</v>
      </c>
      <c r="L12" s="68">
        <v>739356.33999999985</v>
      </c>
      <c r="M12" s="68">
        <v>782299.66999999981</v>
      </c>
      <c r="N12" s="68">
        <v>871991.45999999973</v>
      </c>
      <c r="O12" s="68">
        <f t="shared" si="6"/>
        <v>515448.80461538461</v>
      </c>
      <c r="R12" s="124">
        <f t="shared" si="4"/>
        <v>41061.731135463859</v>
      </c>
      <c r="S12" s="124">
        <f t="shared" si="2"/>
        <v>97951.538734120171</v>
      </c>
      <c r="T12" s="124">
        <f t="shared" si="2"/>
        <v>41024.839500583839</v>
      </c>
      <c r="U12" s="124">
        <f t="shared" si="2"/>
        <v>516.03571698847588</v>
      </c>
      <c r="V12" s="124">
        <f t="shared" si="2"/>
        <v>96.365422019945029</v>
      </c>
      <c r="W12" s="124">
        <f t="shared" si="2"/>
        <v>334798.29410620831</v>
      </c>
      <c r="X12" s="125"/>
      <c r="Y12" s="125"/>
      <c r="Z12" s="124">
        <f t="shared" si="5"/>
        <v>69464.665670643575</v>
      </c>
      <c r="AA12" s="124">
        <f t="shared" si="3"/>
        <v>165705.89456259389</v>
      </c>
      <c r="AB12" s="124">
        <f t="shared" si="3"/>
        <v>69402.255611152184</v>
      </c>
      <c r="AC12" s="124">
        <f t="shared" si="3"/>
        <v>872.98434731009024</v>
      </c>
      <c r="AD12" s="124">
        <f t="shared" si="3"/>
        <v>163.02264024724823</v>
      </c>
      <c r="AE12" s="124">
        <f t="shared" si="3"/>
        <v>566382.63716805272</v>
      </c>
    </row>
    <row r="13" spans="1:31" x14ac:dyDescent="0.25">
      <c r="A13" t="s">
        <v>437</v>
      </c>
      <c r="B13" s="68">
        <v>133969.25</v>
      </c>
      <c r="C13" s="68">
        <v>133969.25</v>
      </c>
      <c r="D13" s="68">
        <v>133969.25</v>
      </c>
      <c r="E13" s="68">
        <v>133969.25</v>
      </c>
      <c r="F13" s="68">
        <v>133969.25</v>
      </c>
      <c r="G13" s="68">
        <v>133969.25</v>
      </c>
      <c r="H13" s="68">
        <v>133969.25</v>
      </c>
      <c r="I13" s="68">
        <v>133969.25</v>
      </c>
      <c r="J13" s="68">
        <v>133969.25</v>
      </c>
      <c r="K13" s="68">
        <v>133969.25</v>
      </c>
      <c r="L13" s="68">
        <v>133969.25</v>
      </c>
      <c r="M13" s="68">
        <v>133969.25</v>
      </c>
      <c r="N13" s="68">
        <v>133969.25</v>
      </c>
      <c r="O13" s="68">
        <f t="shared" si="6"/>
        <v>133969.25</v>
      </c>
      <c r="R13" s="124">
        <f t="shared" si="4"/>
        <v>10672.270989209997</v>
      </c>
      <c r="S13" s="124">
        <f t="shared" si="2"/>
        <v>25458.385125847202</v>
      </c>
      <c r="T13" s="124">
        <f t="shared" si="2"/>
        <v>10662.682559453451</v>
      </c>
      <c r="U13" s="124">
        <f t="shared" si="2"/>
        <v>134.12179320067233</v>
      </c>
      <c r="V13" s="124">
        <f t="shared" si="2"/>
        <v>25.04614075801117</v>
      </c>
      <c r="W13" s="124">
        <f t="shared" si="2"/>
        <v>87016.743391530661</v>
      </c>
      <c r="X13" s="125"/>
      <c r="Y13" s="125"/>
      <c r="Z13" s="124">
        <f t="shared" si="5"/>
        <v>10672.270989209997</v>
      </c>
      <c r="AA13" s="124">
        <f t="shared" si="3"/>
        <v>25458.385125847202</v>
      </c>
      <c r="AB13" s="124">
        <f t="shared" si="3"/>
        <v>10662.682559453451</v>
      </c>
      <c r="AC13" s="124">
        <f t="shared" si="3"/>
        <v>134.12179320067233</v>
      </c>
      <c r="AD13" s="124">
        <f t="shared" si="3"/>
        <v>25.04614075801117</v>
      </c>
      <c r="AE13" s="124">
        <f t="shared" si="3"/>
        <v>87016.743391530661</v>
      </c>
    </row>
    <row r="14" spans="1:31" x14ac:dyDescent="0.25">
      <c r="A14" t="s">
        <v>438</v>
      </c>
      <c r="B14" s="68">
        <v>1642872.16</v>
      </c>
      <c r="C14" s="68">
        <v>1648733.7100000002</v>
      </c>
      <c r="D14" s="68">
        <v>1672114.2900000003</v>
      </c>
      <c r="E14" s="68">
        <v>1786165.45</v>
      </c>
      <c r="F14" s="68">
        <v>1855637.9300000004</v>
      </c>
      <c r="G14" s="68">
        <v>1906590.61</v>
      </c>
      <c r="H14" s="68">
        <v>1983918.53</v>
      </c>
      <c r="I14" s="68">
        <v>2076308.32</v>
      </c>
      <c r="J14" s="68">
        <v>2141127.62</v>
      </c>
      <c r="K14" s="68">
        <v>2141184.48</v>
      </c>
      <c r="L14" s="68">
        <v>2325798.1800000006</v>
      </c>
      <c r="M14" s="68">
        <v>2284148.14</v>
      </c>
      <c r="N14" s="68">
        <v>2265779.04</v>
      </c>
      <c r="O14" s="68">
        <f t="shared" si="6"/>
        <v>1979259.8815384617</v>
      </c>
      <c r="R14" s="124">
        <f t="shared" si="4"/>
        <v>157671.98677196552</v>
      </c>
      <c r="S14" s="124">
        <f t="shared" si="2"/>
        <v>376121.83637920546</v>
      </c>
      <c r="T14" s="124">
        <f t="shared" si="2"/>
        <v>157530.32744085722</v>
      </c>
      <c r="U14" s="124">
        <f t="shared" si="2"/>
        <v>1981.5135527151849</v>
      </c>
      <c r="V14" s="124">
        <f t="shared" si="2"/>
        <v>370.03134368294832</v>
      </c>
      <c r="W14" s="124">
        <f t="shared" si="2"/>
        <v>1285584.1860500353</v>
      </c>
      <c r="X14" s="125"/>
      <c r="Y14" s="125"/>
      <c r="Z14" s="124">
        <f t="shared" si="5"/>
        <v>180496.70291169116</v>
      </c>
      <c r="AA14" s="124">
        <f t="shared" si="3"/>
        <v>430569.51808263728</v>
      </c>
      <c r="AB14" s="124">
        <f t="shared" si="3"/>
        <v>180334.53686859622</v>
      </c>
      <c r="AC14" s="124">
        <f t="shared" si="3"/>
        <v>2268.358954321965</v>
      </c>
      <c r="AD14" s="124">
        <f t="shared" si="3"/>
        <v>423.59736105405847</v>
      </c>
      <c r="AE14" s="124">
        <f t="shared" si="3"/>
        <v>1471686.3258216991</v>
      </c>
    </row>
    <row r="15" spans="1:31" x14ac:dyDescent="0.25">
      <c r="A15" t="s">
        <v>458</v>
      </c>
      <c r="B15" s="68">
        <v>1244509.3299999998</v>
      </c>
      <c r="C15" s="68">
        <v>1244509.3299999998</v>
      </c>
      <c r="D15" s="68">
        <v>1244509.3299999998</v>
      </c>
      <c r="E15" s="68">
        <v>1244509.3299999998</v>
      </c>
      <c r="F15" s="68">
        <v>1244509.3299999998</v>
      </c>
      <c r="G15" s="68">
        <v>1244509.3299999998</v>
      </c>
      <c r="H15" s="68">
        <v>1244509.3299999998</v>
      </c>
      <c r="I15" s="68">
        <v>1244509.3299999998</v>
      </c>
      <c r="J15" s="68">
        <v>1244509.3299999998</v>
      </c>
      <c r="K15" s="68">
        <v>1244509.3299999998</v>
      </c>
      <c r="L15" s="68">
        <v>1244509.3299999998</v>
      </c>
      <c r="M15" s="68">
        <v>1244509.3299999998</v>
      </c>
      <c r="N15" s="68">
        <v>1244509.3299999998</v>
      </c>
      <c r="O15" s="68">
        <f t="shared" si="6"/>
        <v>1244509.3299999998</v>
      </c>
      <c r="R15" s="124">
        <f t="shared" si="4"/>
        <v>99140.219254494368</v>
      </c>
      <c r="S15" s="124">
        <f t="shared" si="2"/>
        <v>236496.04529285687</v>
      </c>
      <c r="T15" s="124">
        <f t="shared" si="2"/>
        <v>99051.147394406536</v>
      </c>
      <c r="U15" s="124">
        <f t="shared" si="2"/>
        <v>1245.926382319579</v>
      </c>
      <c r="V15" s="124">
        <f t="shared" si="2"/>
        <v>232.66649513853491</v>
      </c>
      <c r="W15" s="124">
        <f t="shared" si="2"/>
        <v>808343.32518078387</v>
      </c>
      <c r="X15" s="125"/>
      <c r="Y15" s="125"/>
      <c r="Z15" s="124">
        <f t="shared" si="5"/>
        <v>99140.219254494368</v>
      </c>
      <c r="AA15" s="124">
        <f t="shared" si="3"/>
        <v>236496.04529285687</v>
      </c>
      <c r="AB15" s="124">
        <f t="shared" si="3"/>
        <v>99051.147394406536</v>
      </c>
      <c r="AC15" s="124">
        <f t="shared" si="3"/>
        <v>1245.926382319579</v>
      </c>
      <c r="AD15" s="124">
        <f t="shared" si="3"/>
        <v>232.66649513853491</v>
      </c>
      <c r="AE15" s="124">
        <f t="shared" si="3"/>
        <v>808343.32518078387</v>
      </c>
    </row>
    <row r="16" spans="1:31" x14ac:dyDescent="0.25">
      <c r="A16" t="s">
        <v>441</v>
      </c>
      <c r="B16" s="68">
        <v>399931.74</v>
      </c>
      <c r="C16" s="68">
        <v>399931.74</v>
      </c>
      <c r="D16" s="68">
        <v>399931.74</v>
      </c>
      <c r="E16" s="68">
        <v>345199.68000000005</v>
      </c>
      <c r="F16" s="68">
        <v>369049.68000000005</v>
      </c>
      <c r="G16" s="68">
        <v>369049.68000000005</v>
      </c>
      <c r="H16" s="68">
        <v>369049.68000000005</v>
      </c>
      <c r="I16" s="68">
        <v>369049.68000000005</v>
      </c>
      <c r="J16" s="68">
        <v>369049.68000000005</v>
      </c>
      <c r="K16" s="68">
        <v>369049.68000000005</v>
      </c>
      <c r="L16" s="68">
        <v>369049.68000000005</v>
      </c>
      <c r="M16" s="68">
        <v>369049.68000000005</v>
      </c>
      <c r="N16" s="68">
        <v>369049.68000000005</v>
      </c>
      <c r="O16" s="68">
        <f t="shared" si="6"/>
        <v>374341.69384615391</v>
      </c>
      <c r="R16" s="124">
        <f t="shared" si="4"/>
        <v>29820.843210557938</v>
      </c>
      <c r="S16" s="124">
        <f t="shared" si="2"/>
        <v>71136.734814872616</v>
      </c>
      <c r="T16" s="124">
        <f t="shared" si="2"/>
        <v>29794.050875478133</v>
      </c>
      <c r="U16" s="124">
        <f t="shared" si="2"/>
        <v>374.76793554060544</v>
      </c>
      <c r="V16" s="124">
        <f t="shared" si="2"/>
        <v>69.98482678422917</v>
      </c>
      <c r="W16" s="124">
        <f t="shared" si="2"/>
        <v>243145.31218292037</v>
      </c>
      <c r="X16" s="125"/>
      <c r="Y16" s="125"/>
      <c r="Z16" s="124">
        <f t="shared" si="5"/>
        <v>29399.270305993607</v>
      </c>
      <c r="AA16" s="124">
        <f t="shared" si="3"/>
        <v>70131.085185672622</v>
      </c>
      <c r="AB16" s="124">
        <f t="shared" si="3"/>
        <v>29372.856730241288</v>
      </c>
      <c r="AC16" s="124">
        <f t="shared" si="3"/>
        <v>369.46989597787785</v>
      </c>
      <c r="AD16" s="124">
        <f t="shared" si="3"/>
        <v>68.995461510600236</v>
      </c>
      <c r="AE16" s="124">
        <f t="shared" si="3"/>
        <v>239708.00242060403</v>
      </c>
    </row>
    <row r="17" spans="1:32" x14ac:dyDescent="0.25">
      <c r="A17" s="116" t="s">
        <v>459</v>
      </c>
      <c r="B17" s="117">
        <f t="shared" ref="B17:O17" si="7">SUM(B18:B19)</f>
        <v>475306.17</v>
      </c>
      <c r="C17" s="117">
        <f t="shared" si="7"/>
        <v>475306.17</v>
      </c>
      <c r="D17" s="117">
        <f t="shared" si="7"/>
        <v>475306.17</v>
      </c>
      <c r="E17" s="117">
        <f t="shared" si="7"/>
        <v>475306.17</v>
      </c>
      <c r="F17" s="117">
        <f t="shared" si="7"/>
        <v>475306.17</v>
      </c>
      <c r="G17" s="117">
        <f t="shared" si="7"/>
        <v>475306.17</v>
      </c>
      <c r="H17" s="117">
        <f t="shared" si="7"/>
        <v>475306.17</v>
      </c>
      <c r="I17" s="117">
        <f t="shared" si="7"/>
        <v>475306.17</v>
      </c>
      <c r="J17" s="117">
        <f t="shared" si="7"/>
        <v>475306.17</v>
      </c>
      <c r="K17" s="117">
        <f t="shared" si="7"/>
        <v>475306.17</v>
      </c>
      <c r="L17" s="117">
        <f t="shared" si="7"/>
        <v>475306.17</v>
      </c>
      <c r="M17" s="117">
        <f t="shared" si="7"/>
        <v>475306.17</v>
      </c>
      <c r="N17" s="117">
        <f t="shared" si="7"/>
        <v>475306.17</v>
      </c>
      <c r="O17" s="117">
        <f t="shared" si="7"/>
        <v>475306.17</v>
      </c>
      <c r="R17" s="126">
        <f t="shared" si="4"/>
        <v>37863.884802546221</v>
      </c>
      <c r="S17" s="126">
        <f t="shared" si="2"/>
        <v>90323.171388594041</v>
      </c>
      <c r="T17" s="126">
        <f t="shared" si="2"/>
        <v>37829.866251095809</v>
      </c>
      <c r="U17" s="126">
        <f t="shared" si="2"/>
        <v>475.84737422762021</v>
      </c>
      <c r="V17" s="126">
        <f t="shared" si="2"/>
        <v>88.860579849265307</v>
      </c>
      <c r="W17" s="126">
        <f t="shared" si="2"/>
        <v>308724.53960368701</v>
      </c>
      <c r="X17" s="125"/>
      <c r="Y17" s="125"/>
      <c r="Z17" s="126">
        <f t="shared" si="5"/>
        <v>37863.884802546221</v>
      </c>
      <c r="AA17" s="126">
        <f t="shared" si="3"/>
        <v>90323.171388594041</v>
      </c>
      <c r="AB17" s="126">
        <f t="shared" si="3"/>
        <v>37829.866251095809</v>
      </c>
      <c r="AC17" s="126">
        <f t="shared" si="3"/>
        <v>475.84737422762021</v>
      </c>
      <c r="AD17" s="126">
        <f t="shared" si="3"/>
        <v>88.860579849265307</v>
      </c>
      <c r="AE17" s="126">
        <f t="shared" si="3"/>
        <v>308724.53960368701</v>
      </c>
    </row>
    <row r="18" spans="1:32" x14ac:dyDescent="0.25">
      <c r="A18" t="s">
        <v>435</v>
      </c>
      <c r="B18" s="68">
        <v>5656.13</v>
      </c>
      <c r="C18" s="68">
        <v>5656.13</v>
      </c>
      <c r="D18" s="68">
        <v>5656.13</v>
      </c>
      <c r="E18" s="68">
        <v>5656.13</v>
      </c>
      <c r="F18" s="68">
        <v>5656.13</v>
      </c>
      <c r="G18" s="68">
        <v>5656.13</v>
      </c>
      <c r="H18" s="68">
        <v>5656.13</v>
      </c>
      <c r="I18" s="68">
        <v>5656.13</v>
      </c>
      <c r="J18" s="68">
        <v>5656.13</v>
      </c>
      <c r="K18" s="68">
        <v>5656.13</v>
      </c>
      <c r="L18" s="68">
        <v>5656.13</v>
      </c>
      <c r="M18" s="68">
        <v>5656.13</v>
      </c>
      <c r="N18" s="68">
        <v>5656.13</v>
      </c>
      <c r="O18" s="68">
        <f t="shared" si="6"/>
        <v>5656.1299999999992</v>
      </c>
      <c r="R18" s="127">
        <f t="shared" si="4"/>
        <v>450.57915984601198</v>
      </c>
      <c r="S18" s="127">
        <f t="shared" si="2"/>
        <v>1074.8431887306836</v>
      </c>
      <c r="T18" s="127">
        <f t="shared" si="2"/>
        <v>450.1743400444613</v>
      </c>
      <c r="U18" s="127">
        <f t="shared" si="2"/>
        <v>5.66257031502467</v>
      </c>
      <c r="V18" s="127">
        <f t="shared" si="2"/>
        <v>1.0574383907173452</v>
      </c>
      <c r="W18" s="127">
        <f t="shared" si="2"/>
        <v>3673.8133026731002</v>
      </c>
      <c r="X18" s="128"/>
      <c r="Y18" s="128"/>
      <c r="Z18" s="127">
        <f t="shared" si="5"/>
        <v>450.57915984601203</v>
      </c>
      <c r="AA18" s="127">
        <f t="shared" si="3"/>
        <v>1074.8431887306838</v>
      </c>
      <c r="AB18" s="127">
        <f t="shared" si="3"/>
        <v>450.17434004446136</v>
      </c>
      <c r="AC18" s="127">
        <f t="shared" si="3"/>
        <v>5.6625703150246709</v>
      </c>
      <c r="AD18" s="127">
        <f t="shared" si="3"/>
        <v>1.0574383907173455</v>
      </c>
      <c r="AE18" s="127">
        <f t="shared" si="3"/>
        <v>3673.8133026731007</v>
      </c>
      <c r="AF18" s="89"/>
    </row>
    <row r="19" spans="1:32" x14ac:dyDescent="0.25">
      <c r="A19" t="s">
        <v>441</v>
      </c>
      <c r="B19" s="68">
        <v>469650.04</v>
      </c>
      <c r="C19" s="68">
        <v>469650.04</v>
      </c>
      <c r="D19" s="68">
        <v>469650.04</v>
      </c>
      <c r="E19" s="68">
        <v>469650.04</v>
      </c>
      <c r="F19" s="68">
        <v>469650.04</v>
      </c>
      <c r="G19" s="68">
        <v>469650.04</v>
      </c>
      <c r="H19" s="68">
        <v>469650.04</v>
      </c>
      <c r="I19" s="68">
        <v>469650.04</v>
      </c>
      <c r="J19" s="68">
        <v>469650.04</v>
      </c>
      <c r="K19" s="68">
        <v>469650.04</v>
      </c>
      <c r="L19" s="68">
        <v>469650.04</v>
      </c>
      <c r="M19" s="68">
        <v>469650.04</v>
      </c>
      <c r="N19" s="68">
        <v>469650.04</v>
      </c>
      <c r="O19" s="68">
        <f t="shared" si="6"/>
        <v>469650.04</v>
      </c>
      <c r="R19" s="124">
        <f t="shared" si="4"/>
        <v>37413.305642700208</v>
      </c>
      <c r="S19" s="124">
        <f t="shared" si="4"/>
        <v>89248.328199863361</v>
      </c>
      <c r="T19" s="124">
        <f t="shared" si="4"/>
        <v>37379.691911051348</v>
      </c>
      <c r="U19" s="124">
        <f t="shared" si="4"/>
        <v>470.18480391259556</v>
      </c>
      <c r="V19" s="124">
        <f t="shared" si="4"/>
        <v>87.803141458547955</v>
      </c>
      <c r="W19" s="124">
        <f t="shared" si="4"/>
        <v>305050.7263010139</v>
      </c>
      <c r="X19" s="125"/>
      <c r="Y19" s="125"/>
      <c r="Z19" s="124">
        <f t="shared" si="5"/>
        <v>37413.305642700208</v>
      </c>
      <c r="AA19" s="124">
        <f t="shared" si="5"/>
        <v>89248.328199863361</v>
      </c>
      <c r="AB19" s="124">
        <f t="shared" si="5"/>
        <v>37379.691911051348</v>
      </c>
      <c r="AC19" s="124">
        <f t="shared" si="5"/>
        <v>470.18480391259556</v>
      </c>
      <c r="AD19" s="124">
        <f t="shared" si="5"/>
        <v>87.803141458547955</v>
      </c>
      <c r="AE19" s="124">
        <f t="shared" si="5"/>
        <v>305050.7263010139</v>
      </c>
    </row>
    <row r="20" spans="1:32" ht="15.75" thickBot="1" x14ac:dyDescent="0.3">
      <c r="A20" s="116" t="s">
        <v>443</v>
      </c>
      <c r="B20" s="117">
        <f t="shared" ref="B20:O20" si="8">B17+B6</f>
        <v>14865082.410000002</v>
      </c>
      <c r="C20" s="117">
        <f t="shared" si="8"/>
        <v>14875178.330000004</v>
      </c>
      <c r="D20" s="117">
        <f t="shared" si="8"/>
        <v>14692392.800000004</v>
      </c>
      <c r="E20" s="117">
        <f t="shared" si="8"/>
        <v>14807216.480000002</v>
      </c>
      <c r="F20" s="117">
        <f t="shared" si="8"/>
        <v>14877753.920000002</v>
      </c>
      <c r="G20" s="117">
        <f t="shared" si="8"/>
        <v>14964299.300000001</v>
      </c>
      <c r="H20" s="117">
        <f t="shared" si="8"/>
        <v>15074400.500000002</v>
      </c>
      <c r="I20" s="117">
        <f t="shared" si="8"/>
        <v>15201545.010000002</v>
      </c>
      <c r="J20" s="117">
        <f t="shared" si="8"/>
        <v>15410185.030000001</v>
      </c>
      <c r="K20" s="117">
        <f t="shared" si="8"/>
        <v>15508921.610000003</v>
      </c>
      <c r="L20" s="117">
        <f t="shared" si="8"/>
        <v>15801957.840000004</v>
      </c>
      <c r="M20" s="117">
        <f t="shared" si="8"/>
        <v>15798478.770000003</v>
      </c>
      <c r="N20" s="117">
        <f t="shared" si="8"/>
        <v>15867713.460000001</v>
      </c>
      <c r="O20" s="117">
        <f t="shared" si="8"/>
        <v>15211163.496923078</v>
      </c>
      <c r="R20" s="129">
        <f t="shared" si="4"/>
        <v>1211753.1366365212</v>
      </c>
      <c r="S20" s="129">
        <f t="shared" si="4"/>
        <v>2890601.0783586265</v>
      </c>
      <c r="T20" s="129">
        <f t="shared" si="4"/>
        <v>1210664.4452188595</v>
      </c>
      <c r="U20" s="129">
        <f t="shared" si="4"/>
        <v>15228.483587658608</v>
      </c>
      <c r="V20" s="129">
        <f t="shared" si="4"/>
        <v>2843.7939455289688</v>
      </c>
      <c r="W20" s="129">
        <f t="shared" si="4"/>
        <v>9880072.5591758825</v>
      </c>
      <c r="X20" s="125"/>
      <c r="Y20" s="125"/>
      <c r="Z20" s="129">
        <f t="shared" si="5"/>
        <v>1264055.281523596</v>
      </c>
      <c r="AA20" s="129">
        <f t="shared" si="5"/>
        <v>3015366.2898856974</v>
      </c>
      <c r="AB20" s="129">
        <f t="shared" si="5"/>
        <v>1262919.5995972718</v>
      </c>
      <c r="AC20" s="129">
        <f t="shared" si="5"/>
        <v>15885.781127009706</v>
      </c>
      <c r="AD20" s="129">
        <f t="shared" si="5"/>
        <v>2966.5388499745163</v>
      </c>
      <c r="AE20" s="129">
        <f t="shared" si="5"/>
        <v>10306519.969016451</v>
      </c>
    </row>
    <row r="21" spans="1:32" ht="15.75" thickTop="1" x14ac:dyDescent="0.25"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</row>
    <row r="22" spans="1:32" ht="15.75" x14ac:dyDescent="0.25">
      <c r="A22" s="112" t="s">
        <v>74</v>
      </c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</row>
    <row r="23" spans="1:32" x14ac:dyDescent="0.25">
      <c r="A23" s="116" t="s">
        <v>454</v>
      </c>
      <c r="B23" s="117">
        <f>SUM(B24:B33)</f>
        <v>4264123.080000001</v>
      </c>
      <c r="C23" s="117">
        <f t="shared" ref="C23:O23" si="9">SUM(C24:C33)</f>
        <v>4442648.1999999983</v>
      </c>
      <c r="D23" s="117">
        <f t="shared" si="9"/>
        <v>4383745.53</v>
      </c>
      <c r="E23" s="117">
        <f t="shared" si="9"/>
        <v>4472407.8600000013</v>
      </c>
      <c r="F23" s="117">
        <f t="shared" si="9"/>
        <v>4598536.57</v>
      </c>
      <c r="G23" s="117">
        <f t="shared" si="9"/>
        <v>4768382.1899999995</v>
      </c>
      <c r="H23" s="117">
        <f t="shared" si="9"/>
        <v>4924031.08</v>
      </c>
      <c r="I23" s="117">
        <f t="shared" si="9"/>
        <v>5111202.5599999996</v>
      </c>
      <c r="J23" s="117">
        <f t="shared" si="9"/>
        <v>5298179.1899999995</v>
      </c>
      <c r="K23" s="117">
        <f t="shared" si="9"/>
        <v>5363657.2799999993</v>
      </c>
      <c r="L23" s="117">
        <f t="shared" si="9"/>
        <v>5553518.8499999996</v>
      </c>
      <c r="M23" s="117">
        <f t="shared" si="9"/>
        <v>5679412.879999999</v>
      </c>
      <c r="N23" s="117">
        <f t="shared" si="9"/>
        <v>5841590.54</v>
      </c>
      <c r="O23" s="117">
        <f t="shared" si="9"/>
        <v>4977033.5238461532</v>
      </c>
      <c r="R23" s="122">
        <f t="shared" ref="R23:W37" si="10">$O23*R$3</f>
        <v>396480.91251439345</v>
      </c>
      <c r="S23" s="122">
        <f t="shared" si="10"/>
        <v>945793.42822571448</v>
      </c>
      <c r="T23" s="122">
        <f t="shared" si="10"/>
        <v>396124.69691761007</v>
      </c>
      <c r="U23" s="122">
        <f t="shared" si="10"/>
        <v>4982.7005901586172</v>
      </c>
      <c r="V23" s="122">
        <f t="shared" si="10"/>
        <v>930.47831644643156</v>
      </c>
      <c r="W23" s="122">
        <f t="shared" si="10"/>
        <v>3232721.3072818299</v>
      </c>
      <c r="X23" s="125"/>
      <c r="Y23" s="125"/>
      <c r="Z23" s="122">
        <f t="shared" ref="Z23:AE37" si="11">$N23*Z$3</f>
        <v>465353.33482038276</v>
      </c>
      <c r="AA23" s="122">
        <f t="shared" si="11"/>
        <v>1110086.5438511132</v>
      </c>
      <c r="AB23" s="122">
        <f t="shared" si="11"/>
        <v>464935.24126115709</v>
      </c>
      <c r="AC23" s="122">
        <f t="shared" si="11"/>
        <v>5848.2420284422278</v>
      </c>
      <c r="AD23" s="122">
        <f t="shared" si="11"/>
        <v>1092.111054704766</v>
      </c>
      <c r="AE23" s="122">
        <f t="shared" si="11"/>
        <v>3794275.0669841999</v>
      </c>
    </row>
    <row r="24" spans="1:32" x14ac:dyDescent="0.25">
      <c r="A24" t="s">
        <v>455</v>
      </c>
      <c r="B24" s="68">
        <v>5966.29</v>
      </c>
      <c r="C24" s="68">
        <v>5966.29</v>
      </c>
      <c r="D24" s="68">
        <v>5966.29</v>
      </c>
      <c r="E24" s="68">
        <v>5966.29</v>
      </c>
      <c r="F24" s="68">
        <v>5966.29</v>
      </c>
      <c r="G24" s="68">
        <v>5966.29</v>
      </c>
      <c r="H24" s="68">
        <v>5966.29</v>
      </c>
      <c r="I24" s="68">
        <v>5966.29</v>
      </c>
      <c r="J24" s="68">
        <v>5966.29</v>
      </c>
      <c r="K24" s="68">
        <v>5966.29</v>
      </c>
      <c r="L24" s="68">
        <v>5966.29</v>
      </c>
      <c r="M24" s="68">
        <v>5966.29</v>
      </c>
      <c r="N24" s="68">
        <v>5966.29</v>
      </c>
      <c r="O24" s="68">
        <f>SUM(B24:N24)/13</f>
        <v>5966.2899999999991</v>
      </c>
      <c r="R24" s="124">
        <f t="shared" si="10"/>
        <v>475.28715492707249</v>
      </c>
      <c r="S24" s="124">
        <f t="shared" si="10"/>
        <v>1133.7833763530878</v>
      </c>
      <c r="T24" s="124">
        <f t="shared" si="10"/>
        <v>474.86013639429592</v>
      </c>
      <c r="U24" s="124">
        <f t="shared" si="10"/>
        <v>5.9730834766578091</v>
      </c>
      <c r="V24" s="124">
        <f t="shared" si="10"/>
        <v>1.1154241674347989</v>
      </c>
      <c r="W24" s="124">
        <f t="shared" si="10"/>
        <v>3875.27082468145</v>
      </c>
      <c r="X24" s="125"/>
      <c r="Y24" s="125"/>
      <c r="Z24" s="124">
        <f t="shared" si="11"/>
        <v>475.28715492707261</v>
      </c>
      <c r="AA24" s="124">
        <f t="shared" si="11"/>
        <v>1133.7833763530878</v>
      </c>
      <c r="AB24" s="124">
        <f t="shared" si="11"/>
        <v>474.86013639429598</v>
      </c>
      <c r="AC24" s="124">
        <f t="shared" si="11"/>
        <v>5.97308347665781</v>
      </c>
      <c r="AD24" s="124">
        <f t="shared" si="11"/>
        <v>1.1154241674347991</v>
      </c>
      <c r="AE24" s="124">
        <f t="shared" si="11"/>
        <v>3875.2708246814504</v>
      </c>
    </row>
    <row r="25" spans="1:32" x14ac:dyDescent="0.25">
      <c r="A25" t="s">
        <v>434</v>
      </c>
      <c r="B25" s="68">
        <v>1084808.5500000003</v>
      </c>
      <c r="C25" s="68">
        <v>1107567.3599999996</v>
      </c>
      <c r="D25" s="68">
        <v>979732.93000000017</v>
      </c>
      <c r="E25" s="68">
        <v>1001902.41</v>
      </c>
      <c r="F25" s="68">
        <v>1024071.9100000004</v>
      </c>
      <c r="G25" s="68">
        <v>1046241.3600000002</v>
      </c>
      <c r="H25" s="68">
        <v>1068410.8700000001</v>
      </c>
      <c r="I25" s="68">
        <v>1090580.3500000001</v>
      </c>
      <c r="J25" s="68">
        <v>1112196.21</v>
      </c>
      <c r="K25" s="68">
        <v>1133812.0700000003</v>
      </c>
      <c r="L25" s="68">
        <v>1155427.9300000006</v>
      </c>
      <c r="M25" s="68">
        <v>1177043.7699999998</v>
      </c>
      <c r="N25" s="68">
        <v>1198659.6400000004</v>
      </c>
      <c r="O25" s="68">
        <f t="shared" ref="O25:O36" si="12">SUM(B25:N25)/13</f>
        <v>1090804.2584615387</v>
      </c>
      <c r="R25" s="124">
        <f t="shared" si="10"/>
        <v>86895.75139433716</v>
      </c>
      <c r="S25" s="124">
        <f t="shared" si="10"/>
        <v>207287.2312775359</v>
      </c>
      <c r="T25" s="124">
        <f t="shared" si="10"/>
        <v>86817.680493661072</v>
      </c>
      <c r="U25" s="124">
        <f t="shared" si="10"/>
        <v>1092.0462955177493</v>
      </c>
      <c r="V25" s="124">
        <f t="shared" si="10"/>
        <v>203.9306557054376</v>
      </c>
      <c r="W25" s="124">
        <f t="shared" si="10"/>
        <v>708507.61834478134</v>
      </c>
      <c r="X25" s="125"/>
      <c r="Y25" s="125"/>
      <c r="Z25" s="124">
        <f t="shared" si="11"/>
        <v>95487.73693895356</v>
      </c>
      <c r="AA25" s="124">
        <f t="shared" si="11"/>
        <v>227783.15732848676</v>
      </c>
      <c r="AB25" s="124">
        <f t="shared" si="11"/>
        <v>95401.946626921897</v>
      </c>
      <c r="AC25" s="124">
        <f t="shared" si="11"/>
        <v>1200.0244858732315</v>
      </c>
      <c r="AD25" s="124">
        <f t="shared" si="11"/>
        <v>224.09469385241022</v>
      </c>
      <c r="AE25" s="124">
        <f t="shared" si="11"/>
        <v>778562.67992591241</v>
      </c>
    </row>
    <row r="26" spans="1:32" x14ac:dyDescent="0.25">
      <c r="A26" t="s">
        <v>456</v>
      </c>
      <c r="B26" s="68">
        <v>109178.11</v>
      </c>
      <c r="C26" s="68">
        <v>112727.13</v>
      </c>
      <c r="D26" s="68">
        <v>116276.15</v>
      </c>
      <c r="E26" s="68">
        <v>119825.17</v>
      </c>
      <c r="F26" s="68">
        <v>123374.19</v>
      </c>
      <c r="G26" s="68">
        <v>126923.21</v>
      </c>
      <c r="H26" s="68">
        <v>130472.23</v>
      </c>
      <c r="I26" s="68">
        <v>134021.25</v>
      </c>
      <c r="J26" s="68">
        <v>137570.26999999999</v>
      </c>
      <c r="K26" s="68">
        <v>141119.29</v>
      </c>
      <c r="L26" s="68">
        <v>144668.31</v>
      </c>
      <c r="M26" s="68">
        <v>148217.32999999999</v>
      </c>
      <c r="N26" s="68">
        <v>151766.35</v>
      </c>
      <c r="O26" s="68">
        <f t="shared" si="12"/>
        <v>130472.23000000001</v>
      </c>
      <c r="R26" s="124">
        <f t="shared" si="10"/>
        <v>10393.691053182238</v>
      </c>
      <c r="S26" s="124">
        <f t="shared" si="10"/>
        <v>24793.840971477526</v>
      </c>
      <c r="T26" s="124">
        <f t="shared" si="10"/>
        <v>10384.352911686819</v>
      </c>
      <c r="U26" s="124">
        <f t="shared" si="10"/>
        <v>130.62079134197256</v>
      </c>
      <c r="V26" s="124">
        <f t="shared" si="10"/>
        <v>24.392357481971484</v>
      </c>
      <c r="W26" s="124">
        <f t="shared" si="10"/>
        <v>84745.331914829469</v>
      </c>
      <c r="X26" s="125"/>
      <c r="Y26" s="125"/>
      <c r="Z26" s="124">
        <f t="shared" si="11"/>
        <v>12090.025242682861</v>
      </c>
      <c r="AA26" s="124">
        <f t="shared" si="11"/>
        <v>28840.395743382313</v>
      </c>
      <c r="AB26" s="124">
        <f t="shared" si="11"/>
        <v>12079.163041197204</v>
      </c>
      <c r="AC26" s="124">
        <f t="shared" si="11"/>
        <v>151.93915775090821</v>
      </c>
      <c r="AD26" s="124">
        <f t="shared" si="11"/>
        <v>28.373386911023154</v>
      </c>
      <c r="AE26" s="124">
        <f t="shared" si="11"/>
        <v>98576.453428075692</v>
      </c>
    </row>
    <row r="27" spans="1:32" x14ac:dyDescent="0.25">
      <c r="A27" t="s">
        <v>435</v>
      </c>
      <c r="B27" s="68">
        <v>363991.47</v>
      </c>
      <c r="C27" s="68">
        <v>374382.50000000012</v>
      </c>
      <c r="D27" s="68">
        <v>384773.50000000006</v>
      </c>
      <c r="E27" s="68">
        <v>360909.99</v>
      </c>
      <c r="F27" s="68">
        <v>371615.07000000007</v>
      </c>
      <c r="G27" s="68">
        <v>369981.44000000006</v>
      </c>
      <c r="H27" s="68">
        <v>367032.34000000008</v>
      </c>
      <c r="I27" s="68">
        <v>377519.84999999992</v>
      </c>
      <c r="J27" s="68">
        <v>388007.35000000003</v>
      </c>
      <c r="K27" s="68">
        <v>398494.87</v>
      </c>
      <c r="L27" s="68">
        <v>408982.38</v>
      </c>
      <c r="M27" s="68">
        <v>419469.89999999997</v>
      </c>
      <c r="N27" s="68">
        <v>429957.38000000006</v>
      </c>
      <c r="O27" s="68">
        <f t="shared" si="12"/>
        <v>385778.31076923083</v>
      </c>
      <c r="R27" s="124">
        <f t="shared" si="10"/>
        <v>30731.908063148083</v>
      </c>
      <c r="S27" s="124">
        <f t="shared" si="10"/>
        <v>73310.05293201124</v>
      </c>
      <c r="T27" s="124">
        <f t="shared" si="10"/>
        <v>30704.297188007629</v>
      </c>
      <c r="U27" s="124">
        <f t="shared" si="10"/>
        <v>386.21757469191988</v>
      </c>
      <c r="V27" s="124">
        <f t="shared" si="10"/>
        <v>72.122952639608954</v>
      </c>
      <c r="W27" s="124">
        <f t="shared" si="10"/>
        <v>250573.71205873232</v>
      </c>
      <c r="X27" s="125"/>
      <c r="Y27" s="125"/>
      <c r="Z27" s="124">
        <f t="shared" si="11"/>
        <v>34251.305229899692</v>
      </c>
      <c r="AA27" s="124">
        <f t="shared" si="11"/>
        <v>81705.470230968946</v>
      </c>
      <c r="AB27" s="124">
        <f t="shared" si="11"/>
        <v>34220.53237615573</v>
      </c>
      <c r="AC27" s="124">
        <f t="shared" si="11"/>
        <v>430.44694812774497</v>
      </c>
      <c r="AD27" s="124">
        <f t="shared" si="11"/>
        <v>80.382424022122223</v>
      </c>
      <c r="AE27" s="124">
        <f t="shared" si="11"/>
        <v>279269.24279082578</v>
      </c>
    </row>
    <row r="28" spans="1:32" x14ac:dyDescent="0.25">
      <c r="A28" t="s">
        <v>457</v>
      </c>
      <c r="B28" s="68">
        <v>1198726.8099999998</v>
      </c>
      <c r="C28" s="68">
        <v>1264562.9299999985</v>
      </c>
      <c r="D28" s="68">
        <v>1303031.1599999999</v>
      </c>
      <c r="E28" s="68">
        <v>1348422.4000000008</v>
      </c>
      <c r="F28" s="68">
        <v>1383397.1599999997</v>
      </c>
      <c r="G28" s="68">
        <v>1448396.9300000002</v>
      </c>
      <c r="H28" s="68">
        <v>1502735.3899999994</v>
      </c>
      <c r="I28" s="68">
        <v>1567480.9099999995</v>
      </c>
      <c r="J28" s="68">
        <v>1629974.97</v>
      </c>
      <c r="K28" s="68">
        <v>1694129.8699999996</v>
      </c>
      <c r="L28" s="68">
        <v>1759259.6599999995</v>
      </c>
      <c r="M28" s="68">
        <v>1819652.1299999997</v>
      </c>
      <c r="N28" s="68">
        <v>1884816.2699999996</v>
      </c>
      <c r="O28" s="68">
        <f t="shared" si="12"/>
        <v>1523429.7376923074</v>
      </c>
      <c r="R28" s="124">
        <f t="shared" si="10"/>
        <v>121359.60299601147</v>
      </c>
      <c r="S28" s="124">
        <f t="shared" si="10"/>
        <v>289499.72455872636</v>
      </c>
      <c r="T28" s="124">
        <f t="shared" si="10"/>
        <v>121250.5682807399</v>
      </c>
      <c r="U28" s="124">
        <f t="shared" si="10"/>
        <v>1525.16438088981</v>
      </c>
      <c r="V28" s="124">
        <f t="shared" si="10"/>
        <v>284.81189261850437</v>
      </c>
      <c r="W28" s="124">
        <f t="shared" si="10"/>
        <v>989509.86558332131</v>
      </c>
      <c r="X28" s="125"/>
      <c r="Y28" s="125"/>
      <c r="Z28" s="124">
        <f t="shared" si="11"/>
        <v>150148.4109100558</v>
      </c>
      <c r="AA28" s="124">
        <f t="shared" si="11"/>
        <v>358174.5698592983</v>
      </c>
      <c r="AB28" s="124">
        <f t="shared" si="11"/>
        <v>150013.51108484299</v>
      </c>
      <c r="AC28" s="124">
        <f t="shared" si="11"/>
        <v>1886.9624035829306</v>
      </c>
      <c r="AD28" s="124">
        <f t="shared" si="11"/>
        <v>352.37469494984538</v>
      </c>
      <c r="AE28" s="124">
        <f t="shared" si="11"/>
        <v>1224240.4410472696</v>
      </c>
    </row>
    <row r="29" spans="1:32" x14ac:dyDescent="0.25">
      <c r="A29" t="s">
        <v>436</v>
      </c>
      <c r="B29" s="68">
        <v>311762.18999999994</v>
      </c>
      <c r="C29" s="68">
        <v>318574.70000000007</v>
      </c>
      <c r="D29" s="68">
        <v>265162.27999999997</v>
      </c>
      <c r="E29" s="68">
        <v>264661.89</v>
      </c>
      <c r="F29" s="68">
        <v>251436.98000000004</v>
      </c>
      <c r="G29" s="68">
        <v>256906.24999999997</v>
      </c>
      <c r="H29" s="68">
        <v>258429.03</v>
      </c>
      <c r="I29" s="68">
        <v>265334.85000000003</v>
      </c>
      <c r="J29" s="68">
        <v>272596.31</v>
      </c>
      <c r="K29" s="68">
        <v>206448.59999999995</v>
      </c>
      <c r="L29" s="68">
        <v>217038.00999999998</v>
      </c>
      <c r="M29" s="68">
        <v>218492.61</v>
      </c>
      <c r="N29" s="68">
        <v>231490.42000000004</v>
      </c>
      <c r="O29" s="68">
        <f t="shared" si="12"/>
        <v>256794.93230769227</v>
      </c>
      <c r="R29" s="124">
        <f t="shared" si="10"/>
        <v>20456.822041203704</v>
      </c>
      <c r="S29" s="124">
        <f t="shared" si="10"/>
        <v>48799.140736065121</v>
      </c>
      <c r="T29" s="124">
        <f t="shared" si="10"/>
        <v>20438.442747669782</v>
      </c>
      <c r="U29" s="124">
        <f t="shared" si="10"/>
        <v>257.08733015936832</v>
      </c>
      <c r="V29" s="124">
        <f t="shared" si="10"/>
        <v>48.008942503764189</v>
      </c>
      <c r="W29" s="124">
        <f t="shared" si="10"/>
        <v>166795.43051009052</v>
      </c>
      <c r="X29" s="125"/>
      <c r="Y29" s="125"/>
      <c r="Z29" s="124">
        <f t="shared" si="11"/>
        <v>18441.011602632982</v>
      </c>
      <c r="AA29" s="124">
        <f t="shared" si="11"/>
        <v>43990.484870999302</v>
      </c>
      <c r="AB29" s="124">
        <f t="shared" si="11"/>
        <v>18424.443400366537</v>
      </c>
      <c r="AC29" s="124">
        <f t="shared" si="11"/>
        <v>231.75400503605707</v>
      </c>
      <c r="AD29" s="124">
        <f t="shared" si="11"/>
        <v>43.278152586889341</v>
      </c>
      <c r="AE29" s="124">
        <f t="shared" si="11"/>
        <v>150359.44796837826</v>
      </c>
    </row>
    <row r="30" spans="1:32" x14ac:dyDescent="0.25">
      <c r="A30" t="s">
        <v>437</v>
      </c>
      <c r="B30" s="68">
        <v>62150.06</v>
      </c>
      <c r="C30" s="68">
        <v>63746.04</v>
      </c>
      <c r="D30" s="68">
        <v>65342.02</v>
      </c>
      <c r="E30" s="68">
        <v>66938</v>
      </c>
      <c r="F30" s="68">
        <v>68533.98</v>
      </c>
      <c r="G30" s="68">
        <v>70129.960000000006</v>
      </c>
      <c r="H30" s="68">
        <v>71725.94</v>
      </c>
      <c r="I30" s="68">
        <v>73321.919999999998</v>
      </c>
      <c r="J30" s="68">
        <v>74917.899999999994</v>
      </c>
      <c r="K30" s="68">
        <v>76513.88</v>
      </c>
      <c r="L30" s="68">
        <v>78109.86</v>
      </c>
      <c r="M30" s="68">
        <v>79705.84</v>
      </c>
      <c r="N30" s="68">
        <v>81301.820000000007</v>
      </c>
      <c r="O30" s="68">
        <f t="shared" si="12"/>
        <v>71725.94</v>
      </c>
      <c r="R30" s="124">
        <f t="shared" si="10"/>
        <v>5713.8385759106432</v>
      </c>
      <c r="S30" s="124">
        <f t="shared" si="10"/>
        <v>13630.192033122594</v>
      </c>
      <c r="T30" s="124">
        <f t="shared" si="10"/>
        <v>5708.7050162511523</v>
      </c>
      <c r="U30" s="124">
        <f t="shared" si="10"/>
        <v>71.807610267310096</v>
      </c>
      <c r="V30" s="124">
        <f t="shared" si="10"/>
        <v>13.409480080247249</v>
      </c>
      <c r="W30" s="124">
        <f t="shared" si="10"/>
        <v>46587.98728436805</v>
      </c>
      <c r="X30" s="125"/>
      <c r="Y30" s="125"/>
      <c r="Z30" s="124">
        <f t="shared" si="11"/>
        <v>6476.6732287892428</v>
      </c>
      <c r="AA30" s="124">
        <f t="shared" si="11"/>
        <v>15449.911416181751</v>
      </c>
      <c r="AB30" s="124">
        <f t="shared" si="11"/>
        <v>6470.8543054904312</v>
      </c>
      <c r="AC30" s="124">
        <f t="shared" si="11"/>
        <v>81.394393779753841</v>
      </c>
      <c r="AD30" s="124">
        <f t="shared" si="11"/>
        <v>15.199732980534622</v>
      </c>
      <c r="AE30" s="124">
        <f t="shared" si="11"/>
        <v>52807.786922778294</v>
      </c>
    </row>
    <row r="31" spans="1:32" x14ac:dyDescent="0.25">
      <c r="A31" t="s">
        <v>438</v>
      </c>
      <c r="B31" s="68">
        <v>467973.24999999994</v>
      </c>
      <c r="C31" s="68">
        <v>515339.49999999994</v>
      </c>
      <c r="D31" s="68">
        <v>563464.06999999995</v>
      </c>
      <c r="E31" s="68">
        <v>612287.91000000027</v>
      </c>
      <c r="F31" s="68">
        <v>659222.98</v>
      </c>
      <c r="G31" s="68">
        <v>713294.13</v>
      </c>
      <c r="H31" s="68">
        <v>769091.71999999986</v>
      </c>
      <c r="I31" s="68">
        <v>827185.26000000024</v>
      </c>
      <c r="J31" s="68">
        <v>887533.42</v>
      </c>
      <c r="K31" s="68">
        <v>898131.30999999982</v>
      </c>
      <c r="L31" s="68">
        <v>955400.69999999972</v>
      </c>
      <c r="M31" s="68">
        <v>962574.65000000014</v>
      </c>
      <c r="N31" s="68">
        <v>989717.41</v>
      </c>
      <c r="O31" s="68">
        <f t="shared" si="12"/>
        <v>755478.17769230774</v>
      </c>
      <c r="R31" s="124">
        <f t="shared" si="10"/>
        <v>60182.973620938028</v>
      </c>
      <c r="S31" s="124">
        <f t="shared" si="10"/>
        <v>143564.69415081444</v>
      </c>
      <c r="T31" s="124">
        <f t="shared" si="10"/>
        <v>60128.902634951271</v>
      </c>
      <c r="U31" s="124">
        <f t="shared" si="10"/>
        <v>756.33839792391529</v>
      </c>
      <c r="V31" s="124">
        <f t="shared" si="10"/>
        <v>141.23996945632908</v>
      </c>
      <c r="W31" s="124">
        <f t="shared" si="10"/>
        <v>490704.02891822369</v>
      </c>
      <c r="X31" s="125"/>
      <c r="Y31" s="125"/>
      <c r="Z31" s="124">
        <f t="shared" si="11"/>
        <v>78842.961368068107</v>
      </c>
      <c r="AA31" s="124">
        <f t="shared" si="11"/>
        <v>188077.54010368811</v>
      </c>
      <c r="AB31" s="124">
        <f t="shared" si="11"/>
        <v>78772.125442177523</v>
      </c>
      <c r="AC31" s="124">
        <f t="shared" si="11"/>
        <v>990.84434518462297</v>
      </c>
      <c r="AD31" s="124">
        <f t="shared" si="11"/>
        <v>185.03202459903488</v>
      </c>
      <c r="AE31" s="124">
        <f t="shared" si="11"/>
        <v>642848.9067162826</v>
      </c>
    </row>
    <row r="32" spans="1:32" x14ac:dyDescent="0.25">
      <c r="A32" t="s">
        <v>458</v>
      </c>
      <c r="B32" s="68">
        <v>475428.39</v>
      </c>
      <c r="C32" s="68">
        <v>490496.15999999986</v>
      </c>
      <c r="D32" s="68">
        <v>505563.94</v>
      </c>
      <c r="E32" s="68">
        <v>520631.73000000004</v>
      </c>
      <c r="F32" s="68">
        <v>535699.52999999991</v>
      </c>
      <c r="G32" s="68">
        <v>550767.30999999982</v>
      </c>
      <c r="H32" s="68">
        <v>565835.12000000011</v>
      </c>
      <c r="I32" s="68">
        <v>580902.89</v>
      </c>
      <c r="J32" s="68">
        <v>595970.66</v>
      </c>
      <c r="K32" s="68">
        <v>611038.43000000005</v>
      </c>
      <c r="L32" s="68">
        <v>626106.22000000009</v>
      </c>
      <c r="M32" s="68">
        <v>641174.01</v>
      </c>
      <c r="N32" s="68">
        <v>656241.77999999991</v>
      </c>
      <c r="O32" s="68">
        <f t="shared" si="12"/>
        <v>565835.09</v>
      </c>
      <c r="R32" s="124">
        <f t="shared" si="10"/>
        <v>45075.608139061973</v>
      </c>
      <c r="S32" s="124">
        <f t="shared" si="10"/>
        <v>107526.52298149324</v>
      </c>
      <c r="T32" s="124">
        <f t="shared" si="10"/>
        <v>45035.110263510272</v>
      </c>
      <c r="U32" s="124">
        <f t="shared" si="10"/>
        <v>566.47937438377699</v>
      </c>
      <c r="V32" s="124">
        <f t="shared" si="10"/>
        <v>105.78535977444017</v>
      </c>
      <c r="W32" s="124">
        <f t="shared" si="10"/>
        <v>367525.58388177626</v>
      </c>
      <c r="X32" s="125"/>
      <c r="Y32" s="125"/>
      <c r="Z32" s="124">
        <f t="shared" si="11"/>
        <v>52277.594377825728</v>
      </c>
      <c r="AA32" s="124">
        <f t="shared" si="11"/>
        <v>124706.64701721843</v>
      </c>
      <c r="AB32" s="124">
        <f t="shared" si="11"/>
        <v>52230.625926402427</v>
      </c>
      <c r="AC32" s="124">
        <f t="shared" si="11"/>
        <v>656.98900536355245</v>
      </c>
      <c r="AD32" s="124">
        <f t="shared" si="11"/>
        <v>122.68728826329772</v>
      </c>
      <c r="AE32" s="124">
        <f t="shared" si="11"/>
        <v>426247.23638492642</v>
      </c>
    </row>
    <row r="33" spans="1:31" x14ac:dyDescent="0.25">
      <c r="A33" t="s">
        <v>441</v>
      </c>
      <c r="B33" s="68">
        <v>184137.96000000002</v>
      </c>
      <c r="C33" s="68">
        <v>189285.59</v>
      </c>
      <c r="D33" s="68">
        <v>194433.19</v>
      </c>
      <c r="E33" s="68">
        <v>170862.07</v>
      </c>
      <c r="F33" s="68">
        <v>175218.48</v>
      </c>
      <c r="G33" s="68">
        <v>179775.31</v>
      </c>
      <c r="H33" s="68">
        <v>184332.15</v>
      </c>
      <c r="I33" s="68">
        <v>188888.98999999996</v>
      </c>
      <c r="J33" s="68">
        <v>193445.81000000003</v>
      </c>
      <c r="K33" s="68">
        <v>198002.67</v>
      </c>
      <c r="L33" s="68">
        <v>202559.49</v>
      </c>
      <c r="M33" s="68">
        <v>207116.35</v>
      </c>
      <c r="N33" s="68">
        <v>211673.18000000002</v>
      </c>
      <c r="O33" s="68">
        <f t="shared" si="12"/>
        <v>190748.55692307695</v>
      </c>
      <c r="R33" s="124">
        <f t="shared" si="10"/>
        <v>15195.429475673156</v>
      </c>
      <c r="S33" s="124">
        <f t="shared" si="10"/>
        <v>36248.24520811515</v>
      </c>
      <c r="T33" s="124">
        <f t="shared" si="10"/>
        <v>15181.777244737927</v>
      </c>
      <c r="U33" s="124">
        <f t="shared" si="10"/>
        <v>190.96575150613742</v>
      </c>
      <c r="V33" s="124">
        <f t="shared" si="10"/>
        <v>35.661282018693775</v>
      </c>
      <c r="W33" s="124">
        <f t="shared" si="10"/>
        <v>123896.47796102587</v>
      </c>
      <c r="X33" s="125"/>
      <c r="Y33" s="125"/>
      <c r="Z33" s="124">
        <f t="shared" si="11"/>
        <v>16862.328766547744</v>
      </c>
      <c r="AA33" s="124">
        <f t="shared" si="11"/>
        <v>40224.583904536143</v>
      </c>
      <c r="AB33" s="124">
        <f t="shared" si="11"/>
        <v>16847.178921208048</v>
      </c>
      <c r="AC33" s="124">
        <f t="shared" si="11"/>
        <v>211.91420026676789</v>
      </c>
      <c r="AD33" s="124">
        <f t="shared" si="11"/>
        <v>39.573232372173727</v>
      </c>
      <c r="AE33" s="124">
        <f t="shared" si="11"/>
        <v>137487.60097506913</v>
      </c>
    </row>
    <row r="34" spans="1:31" x14ac:dyDescent="0.25">
      <c r="A34" s="116" t="s">
        <v>459</v>
      </c>
      <c r="B34" s="117">
        <f t="shared" ref="B34:O34" si="13">SUM(B35:B36)</f>
        <v>203388.01</v>
      </c>
      <c r="C34" s="117">
        <f t="shared" si="13"/>
        <v>209120.79</v>
      </c>
      <c r="D34" s="117">
        <f t="shared" si="13"/>
        <v>214853.54999999996</v>
      </c>
      <c r="E34" s="117">
        <f t="shared" si="13"/>
        <v>220586.33</v>
      </c>
      <c r="F34" s="117">
        <f t="shared" si="13"/>
        <v>226319.09</v>
      </c>
      <c r="G34" s="117">
        <f t="shared" si="13"/>
        <v>232051.86</v>
      </c>
      <c r="H34" s="117">
        <f t="shared" si="13"/>
        <v>237784.63</v>
      </c>
      <c r="I34" s="117">
        <f t="shared" si="13"/>
        <v>243517.39</v>
      </c>
      <c r="J34" s="117">
        <f t="shared" si="13"/>
        <v>249250.17</v>
      </c>
      <c r="K34" s="117">
        <f t="shared" si="13"/>
        <v>254982.93</v>
      </c>
      <c r="L34" s="117">
        <f t="shared" si="13"/>
        <v>260715.70999999996</v>
      </c>
      <c r="M34" s="117">
        <f t="shared" si="13"/>
        <v>266448.46000000002</v>
      </c>
      <c r="N34" s="117">
        <f t="shared" si="13"/>
        <v>272181.23</v>
      </c>
      <c r="O34" s="117">
        <f t="shared" si="13"/>
        <v>237784.62692307692</v>
      </c>
      <c r="R34" s="126">
        <f t="shared" si="10"/>
        <v>18942.421306316759</v>
      </c>
      <c r="S34" s="126">
        <f t="shared" si="10"/>
        <v>45186.582810709086</v>
      </c>
      <c r="T34" s="126">
        <f t="shared" si="10"/>
        <v>18925.402615890125</v>
      </c>
      <c r="U34" s="126">
        <f t="shared" si="10"/>
        <v>238.05537881622797</v>
      </c>
      <c r="V34" s="126">
        <f t="shared" si="10"/>
        <v>44.454882265942054</v>
      </c>
      <c r="W34" s="126">
        <f t="shared" si="10"/>
        <v>154447.70992907876</v>
      </c>
      <c r="X34" s="125"/>
      <c r="Y34" s="125"/>
      <c r="Z34" s="126">
        <f t="shared" si="11"/>
        <v>21682.526734578973</v>
      </c>
      <c r="AA34" s="126">
        <f t="shared" si="11"/>
        <v>51723.022838202021</v>
      </c>
      <c r="AB34" s="126">
        <f t="shared" si="11"/>
        <v>21663.046214945509</v>
      </c>
      <c r="AC34" s="126">
        <f t="shared" si="11"/>
        <v>272.49114735780512</v>
      </c>
      <c r="AD34" s="126">
        <f t="shared" si="11"/>
        <v>50.885478557718372</v>
      </c>
      <c r="AE34" s="126">
        <f t="shared" si="11"/>
        <v>176789.25758635794</v>
      </c>
    </row>
    <row r="35" spans="1:31" x14ac:dyDescent="0.25">
      <c r="A35" t="s">
        <v>435</v>
      </c>
      <c r="B35" s="68">
        <v>5057.0599999999995</v>
      </c>
      <c r="C35" s="68">
        <v>5106.5400000000009</v>
      </c>
      <c r="D35" s="68">
        <v>5156.0200000000004</v>
      </c>
      <c r="E35" s="68">
        <v>5205.5</v>
      </c>
      <c r="F35" s="68">
        <v>5254.98</v>
      </c>
      <c r="G35" s="68">
        <v>5304.46</v>
      </c>
      <c r="H35" s="68">
        <v>5353.94</v>
      </c>
      <c r="I35" s="68">
        <v>5403.42</v>
      </c>
      <c r="J35" s="68">
        <v>5452.9000000000005</v>
      </c>
      <c r="K35" s="68">
        <v>5502.38</v>
      </c>
      <c r="L35" s="68">
        <v>5551.86</v>
      </c>
      <c r="M35" s="68">
        <v>5601.34</v>
      </c>
      <c r="N35" s="68">
        <v>5650.81</v>
      </c>
      <c r="O35" s="68">
        <f t="shared" si="12"/>
        <v>5353.9392307692306</v>
      </c>
      <c r="R35" s="124">
        <f t="shared" si="10"/>
        <v>426.50601037575228</v>
      </c>
      <c r="S35" s="124">
        <f t="shared" si="10"/>
        <v>1017.4174064369637</v>
      </c>
      <c r="T35" s="124">
        <f t="shared" si="10"/>
        <v>426.12281893267823</v>
      </c>
      <c r="U35" s="124">
        <f t="shared" si="10"/>
        <v>5.3600354582726819</v>
      </c>
      <c r="V35" s="124">
        <f t="shared" si="10"/>
        <v>1.0009424967571603</v>
      </c>
      <c r="W35" s="124">
        <f t="shared" si="10"/>
        <v>3477.532017068806</v>
      </c>
      <c r="X35" s="125"/>
      <c r="Y35" s="125"/>
      <c r="Z35" s="124">
        <f t="shared" si="11"/>
        <v>450.15535750582876</v>
      </c>
      <c r="AA35" s="124">
        <f t="shared" si="11"/>
        <v>1073.8322208491027</v>
      </c>
      <c r="AB35" s="124">
        <f t="shared" si="11"/>
        <v>449.75091846662696</v>
      </c>
      <c r="AC35" s="124">
        <f t="shared" si="11"/>
        <v>5.6572442574418478</v>
      </c>
      <c r="AD35" s="124">
        <f t="shared" si="11"/>
        <v>1.0564437933091146</v>
      </c>
      <c r="AE35" s="124">
        <f t="shared" si="11"/>
        <v>3670.3578151276906</v>
      </c>
    </row>
    <row r="36" spans="1:31" x14ac:dyDescent="0.25">
      <c r="A36" t="s">
        <v>441</v>
      </c>
      <c r="B36" s="68">
        <v>198330.95</v>
      </c>
      <c r="C36" s="68">
        <v>204014.25</v>
      </c>
      <c r="D36" s="68">
        <v>209697.52999999997</v>
      </c>
      <c r="E36" s="68">
        <v>215380.83</v>
      </c>
      <c r="F36" s="68">
        <v>221064.11</v>
      </c>
      <c r="G36" s="68">
        <v>226747.4</v>
      </c>
      <c r="H36" s="68">
        <v>232430.69</v>
      </c>
      <c r="I36" s="68">
        <v>238113.97</v>
      </c>
      <c r="J36" s="68">
        <v>243797.27000000002</v>
      </c>
      <c r="K36" s="68">
        <v>249480.55</v>
      </c>
      <c r="L36" s="68">
        <v>255163.84999999998</v>
      </c>
      <c r="M36" s="68">
        <v>260847.12000000002</v>
      </c>
      <c r="N36" s="68">
        <v>266530.42</v>
      </c>
      <c r="O36" s="68">
        <f t="shared" si="12"/>
        <v>232430.68769230769</v>
      </c>
      <c r="R36" s="124">
        <f t="shared" si="10"/>
        <v>18515.915295941006</v>
      </c>
      <c r="S36" s="124">
        <f t="shared" si="10"/>
        <v>44169.16540427212</v>
      </c>
      <c r="T36" s="124">
        <f t="shared" si="10"/>
        <v>18499.279796957446</v>
      </c>
      <c r="U36" s="124">
        <f t="shared" si="10"/>
        <v>232.69534335795527</v>
      </c>
      <c r="V36" s="124">
        <f t="shared" si="10"/>
        <v>43.453939769184892</v>
      </c>
      <c r="W36" s="124">
        <f t="shared" si="10"/>
        <v>150970.17791200997</v>
      </c>
      <c r="X36" s="125"/>
      <c r="Y36" s="125"/>
      <c r="Z36" s="124">
        <f t="shared" si="11"/>
        <v>21232.371377073141</v>
      </c>
      <c r="AA36" s="124">
        <f t="shared" si="11"/>
        <v>50649.190617352921</v>
      </c>
      <c r="AB36" s="124">
        <f t="shared" si="11"/>
        <v>21213.295296478882</v>
      </c>
      <c r="AC36" s="124">
        <f t="shared" si="11"/>
        <v>266.83390310036327</v>
      </c>
      <c r="AD36" s="124">
        <f t="shared" si="11"/>
        <v>49.829034764409258</v>
      </c>
      <c r="AE36" s="124">
        <f t="shared" si="11"/>
        <v>173118.89977123027</v>
      </c>
    </row>
    <row r="37" spans="1:31" ht="15.75" thickBot="1" x14ac:dyDescent="0.3">
      <c r="A37" s="116" t="s">
        <v>443</v>
      </c>
      <c r="B37" s="117">
        <f t="shared" ref="B37:O37" si="14">B34+B23</f>
        <v>4467511.0900000008</v>
      </c>
      <c r="C37" s="117">
        <f t="shared" si="14"/>
        <v>4651768.9899999984</v>
      </c>
      <c r="D37" s="117">
        <f t="shared" si="14"/>
        <v>4598599.08</v>
      </c>
      <c r="E37" s="117">
        <f t="shared" si="14"/>
        <v>4692994.1900000013</v>
      </c>
      <c r="F37" s="117">
        <f t="shared" si="14"/>
        <v>4824855.66</v>
      </c>
      <c r="G37" s="117">
        <f t="shared" si="14"/>
        <v>5000434.05</v>
      </c>
      <c r="H37" s="117">
        <f t="shared" si="14"/>
        <v>5161815.71</v>
      </c>
      <c r="I37" s="117">
        <f t="shared" si="14"/>
        <v>5354719.9499999993</v>
      </c>
      <c r="J37" s="117">
        <f t="shared" si="14"/>
        <v>5547429.3599999994</v>
      </c>
      <c r="K37" s="117">
        <f t="shared" si="14"/>
        <v>5618640.209999999</v>
      </c>
      <c r="L37" s="117">
        <f t="shared" si="14"/>
        <v>5814234.5599999996</v>
      </c>
      <c r="M37" s="117">
        <f t="shared" si="14"/>
        <v>5945861.3399999989</v>
      </c>
      <c r="N37" s="117">
        <f t="shared" si="14"/>
        <v>6113771.7699999996</v>
      </c>
      <c r="O37" s="117">
        <f t="shared" si="14"/>
        <v>5214818.15076923</v>
      </c>
      <c r="R37" s="129">
        <f t="shared" si="10"/>
        <v>415423.33382071019</v>
      </c>
      <c r="S37" s="129">
        <f t="shared" si="10"/>
        <v>990980.01103642362</v>
      </c>
      <c r="T37" s="129">
        <f t="shared" si="10"/>
        <v>415050.09953350021</v>
      </c>
      <c r="U37" s="129">
        <f t="shared" si="10"/>
        <v>5220.755968974845</v>
      </c>
      <c r="V37" s="129">
        <f t="shared" si="10"/>
        <v>974.93319871237361</v>
      </c>
      <c r="W37" s="129">
        <f t="shared" si="10"/>
        <v>3387169.0172109087</v>
      </c>
      <c r="X37" s="125"/>
      <c r="Y37" s="125"/>
      <c r="Z37" s="129">
        <f t="shared" si="11"/>
        <v>487035.86155496171</v>
      </c>
      <c r="AA37" s="129">
        <f t="shared" si="11"/>
        <v>1161809.566689315</v>
      </c>
      <c r="AB37" s="129">
        <f t="shared" si="11"/>
        <v>486598.28747610259</v>
      </c>
      <c r="AC37" s="129">
        <f t="shared" si="11"/>
        <v>6120.7331758000319</v>
      </c>
      <c r="AD37" s="129">
        <f t="shared" si="11"/>
        <v>1142.9965332624843</v>
      </c>
      <c r="AE37" s="129">
        <f t="shared" si="11"/>
        <v>3971064.3245705576</v>
      </c>
    </row>
    <row r="38" spans="1:31" ht="15.75" thickTop="1" x14ac:dyDescent="0.25"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</row>
    <row r="39" spans="1:31" ht="15.75" x14ac:dyDescent="0.25">
      <c r="A39" s="112" t="s">
        <v>460</v>
      </c>
      <c r="O39" s="119" t="s">
        <v>32</v>
      </c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</row>
    <row r="40" spans="1:31" x14ac:dyDescent="0.25">
      <c r="A40" s="116" t="s">
        <v>454</v>
      </c>
      <c r="B40" s="117"/>
      <c r="C40" s="117">
        <f t="shared" ref="C40:O40" si="15">SUM(C41:C50)</f>
        <v>178525.11999999997</v>
      </c>
      <c r="D40" s="117">
        <f t="shared" si="15"/>
        <v>177549.57999999996</v>
      </c>
      <c r="E40" s="117">
        <f t="shared" si="15"/>
        <v>176533.65</v>
      </c>
      <c r="F40" s="117">
        <f t="shared" si="15"/>
        <v>179378.47999999995</v>
      </c>
      <c r="G40" s="117">
        <f t="shared" si="15"/>
        <v>182073.93</v>
      </c>
      <c r="H40" s="117">
        <f t="shared" si="15"/>
        <v>183893.32999999996</v>
      </c>
      <c r="I40" s="117">
        <f t="shared" si="15"/>
        <v>187171.47999999995</v>
      </c>
      <c r="J40" s="117">
        <f t="shared" si="15"/>
        <v>186976.63</v>
      </c>
      <c r="K40" s="117">
        <f t="shared" si="15"/>
        <v>190375.07999999993</v>
      </c>
      <c r="L40" s="117">
        <f t="shared" si="15"/>
        <v>194534.86000000004</v>
      </c>
      <c r="M40" s="117">
        <f t="shared" si="15"/>
        <v>199636.56</v>
      </c>
      <c r="N40" s="117">
        <f t="shared" si="15"/>
        <v>199933.55999999994</v>
      </c>
      <c r="O40" s="117">
        <f t="shared" si="15"/>
        <v>2236582.2599999998</v>
      </c>
      <c r="R40" s="125"/>
      <c r="S40" s="125"/>
      <c r="T40" s="125"/>
      <c r="U40" s="125"/>
      <c r="V40" s="125"/>
      <c r="W40" s="125"/>
      <c r="X40" s="125"/>
      <c r="Y40" s="125"/>
      <c r="Z40" s="122">
        <f>$O40*Z$3</f>
        <v>178170.82627826708</v>
      </c>
      <c r="AA40" s="122">
        <f t="shared" ref="AA40:AE54" si="16">$O40*AA$3</f>
        <v>425021.20852895512</v>
      </c>
      <c r="AB40" s="122">
        <f t="shared" si="16"/>
        <v>178010.74990331725</v>
      </c>
      <c r="AC40" s="122">
        <f t="shared" si="16"/>
        <v>2239.1289296014747</v>
      </c>
      <c r="AD40" s="122">
        <f t="shared" si="16"/>
        <v>418.13889456595996</v>
      </c>
      <c r="AE40" s="122">
        <f t="shared" si="16"/>
        <v>1452722.2074652929</v>
      </c>
    </row>
    <row r="41" spans="1:31" x14ac:dyDescent="0.25">
      <c r="A41" t="s">
        <v>455</v>
      </c>
      <c r="B41" s="118"/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v>0</v>
      </c>
      <c r="I41" s="118">
        <v>0</v>
      </c>
      <c r="J41" s="118">
        <v>0</v>
      </c>
      <c r="K41" s="118">
        <v>0</v>
      </c>
      <c r="L41" s="118">
        <v>0</v>
      </c>
      <c r="M41" s="118">
        <v>0</v>
      </c>
      <c r="N41" s="118">
        <v>0</v>
      </c>
      <c r="O41" s="118">
        <f>SUM(C41:N41)</f>
        <v>0</v>
      </c>
      <c r="P41" s="118"/>
      <c r="Q41" s="118"/>
      <c r="R41" s="124"/>
      <c r="S41" s="124"/>
      <c r="T41" s="124"/>
      <c r="U41" s="124"/>
      <c r="V41" s="124"/>
      <c r="W41" s="124"/>
      <c r="X41" s="125"/>
      <c r="Y41" s="125"/>
      <c r="Z41" s="124">
        <f t="shared" ref="Z41:Z54" si="17">$O41*Z$3</f>
        <v>0</v>
      </c>
      <c r="AA41" s="124">
        <f t="shared" si="16"/>
        <v>0</v>
      </c>
      <c r="AB41" s="124">
        <f t="shared" si="16"/>
        <v>0</v>
      </c>
      <c r="AC41" s="124">
        <f t="shared" si="16"/>
        <v>0</v>
      </c>
      <c r="AD41" s="124">
        <f t="shared" si="16"/>
        <v>0</v>
      </c>
      <c r="AE41" s="124">
        <f t="shared" si="16"/>
        <v>0</v>
      </c>
    </row>
    <row r="42" spans="1:31" x14ac:dyDescent="0.25">
      <c r="A42" t="s">
        <v>434</v>
      </c>
      <c r="B42" s="118"/>
      <c r="C42" s="118">
        <v>22758.81</v>
      </c>
      <c r="D42" s="118">
        <v>22758.82</v>
      </c>
      <c r="E42" s="118">
        <v>22169.480000000007</v>
      </c>
      <c r="F42" s="118">
        <v>22169.500000000004</v>
      </c>
      <c r="G42" s="118">
        <v>22169.450000000008</v>
      </c>
      <c r="H42" s="118">
        <v>22169.510000000006</v>
      </c>
      <c r="I42" s="118">
        <v>22169.480000000007</v>
      </c>
      <c r="J42" s="118">
        <v>21615.860000000004</v>
      </c>
      <c r="K42" s="118">
        <v>21615.860000000004</v>
      </c>
      <c r="L42" s="118">
        <v>21615.860000000004</v>
      </c>
      <c r="M42" s="118">
        <v>21615.840000000004</v>
      </c>
      <c r="N42" s="118">
        <v>21615.870000000003</v>
      </c>
      <c r="O42" s="118">
        <f t="shared" ref="O42:O53" si="18">SUM(C42:N42)</f>
        <v>264444.34000000008</v>
      </c>
      <c r="P42" s="118"/>
      <c r="Q42" s="118"/>
      <c r="R42" s="125"/>
      <c r="S42" s="125"/>
      <c r="T42" s="125"/>
      <c r="U42" s="125"/>
      <c r="V42" s="125"/>
      <c r="W42" s="125"/>
      <c r="X42" s="125"/>
      <c r="Y42" s="125"/>
      <c r="Z42" s="124">
        <f t="shared" si="17"/>
        <v>21066.189875981137</v>
      </c>
      <c r="AA42" s="124">
        <f t="shared" si="16"/>
        <v>50252.76958757687</v>
      </c>
      <c r="AB42" s="124">
        <f t="shared" si="16"/>
        <v>21047.263100033626</v>
      </c>
      <c r="AC42" s="124">
        <f t="shared" si="16"/>
        <v>264.74544779916505</v>
      </c>
      <c r="AD42" s="124">
        <f t="shared" si="16"/>
        <v>49.439032929566793</v>
      </c>
      <c r="AE42" s="124">
        <f t="shared" si="16"/>
        <v>171763.93295567972</v>
      </c>
    </row>
    <row r="43" spans="1:31" x14ac:dyDescent="0.25">
      <c r="A43" t="s">
        <v>456</v>
      </c>
      <c r="B43" s="118"/>
      <c r="C43" s="118">
        <v>3549.02</v>
      </c>
      <c r="D43" s="118">
        <v>3549.02</v>
      </c>
      <c r="E43" s="118">
        <v>3549.02</v>
      </c>
      <c r="F43" s="118">
        <v>3549.02</v>
      </c>
      <c r="G43" s="118">
        <v>3549.02</v>
      </c>
      <c r="H43" s="118">
        <v>3549.02</v>
      </c>
      <c r="I43" s="118">
        <v>3549.02</v>
      </c>
      <c r="J43" s="118">
        <v>3549.02</v>
      </c>
      <c r="K43" s="118">
        <v>3549.02</v>
      </c>
      <c r="L43" s="118">
        <v>3549.02</v>
      </c>
      <c r="M43" s="118">
        <v>3549.02</v>
      </c>
      <c r="N43" s="118">
        <v>3549.02</v>
      </c>
      <c r="O43" s="118">
        <f t="shared" si="18"/>
        <v>42588.239999999991</v>
      </c>
      <c r="P43" s="118"/>
      <c r="Q43" s="118"/>
      <c r="R43" s="125"/>
      <c r="S43" s="125"/>
      <c r="T43" s="125"/>
      <c r="U43" s="125"/>
      <c r="V43" s="125"/>
      <c r="W43" s="125"/>
      <c r="X43" s="125"/>
      <c r="Y43" s="125"/>
      <c r="Z43" s="124">
        <f t="shared" si="17"/>
        <v>3392.6683790012462</v>
      </c>
      <c r="AA43" s="124">
        <f t="shared" si="16"/>
        <v>8093.1095438095736</v>
      </c>
      <c r="AB43" s="124">
        <f t="shared" si="16"/>
        <v>3389.6202590207663</v>
      </c>
      <c r="AC43" s="124">
        <f t="shared" si="16"/>
        <v>42.63673281787127</v>
      </c>
      <c r="AD43" s="124">
        <f t="shared" si="16"/>
        <v>7.9620588581033438</v>
      </c>
      <c r="AE43" s="124">
        <f t="shared" si="16"/>
        <v>27662.24302649243</v>
      </c>
    </row>
    <row r="44" spans="1:31" x14ac:dyDescent="0.25">
      <c r="A44" t="s">
        <v>435</v>
      </c>
      <c r="B44" s="118"/>
      <c r="C44" s="118">
        <v>10391.029999999999</v>
      </c>
      <c r="D44" s="118">
        <v>10390.999999999996</v>
      </c>
      <c r="E44" s="118">
        <v>9812.9999999999982</v>
      </c>
      <c r="F44" s="118">
        <v>10705.079999999998</v>
      </c>
      <c r="G44" s="118">
        <v>10594.679999999998</v>
      </c>
      <c r="H44" s="118">
        <v>10487.499999999998</v>
      </c>
      <c r="I44" s="118">
        <v>10487.509999999998</v>
      </c>
      <c r="J44" s="118">
        <v>10487.5</v>
      </c>
      <c r="K44" s="118">
        <v>10487.519999999999</v>
      </c>
      <c r="L44" s="118">
        <v>10487.509999999997</v>
      </c>
      <c r="M44" s="118">
        <v>10487.519999999999</v>
      </c>
      <c r="N44" s="118">
        <v>10487.479999999998</v>
      </c>
      <c r="O44" s="118">
        <f t="shared" si="18"/>
        <v>125307.32999999999</v>
      </c>
      <c r="P44" s="118"/>
      <c r="Q44" s="118"/>
      <c r="R44" s="125"/>
      <c r="S44" s="125"/>
      <c r="T44" s="125"/>
      <c r="U44" s="125"/>
      <c r="V44" s="125"/>
      <c r="W44" s="125"/>
      <c r="X44" s="125"/>
      <c r="Y44" s="125"/>
      <c r="Z44" s="124">
        <f t="shared" si="17"/>
        <v>9982.2443037813791</v>
      </c>
      <c r="AA44" s="124">
        <f t="shared" si="16"/>
        <v>23812.346984338772</v>
      </c>
      <c r="AB44" s="124">
        <f t="shared" si="16"/>
        <v>9973.2758238377701</v>
      </c>
      <c r="AC44" s="124">
        <f t="shared" si="16"/>
        <v>125.45001036273923</v>
      </c>
      <c r="AD44" s="124">
        <f t="shared" si="16"/>
        <v>23.42675670118744</v>
      </c>
      <c r="AE44" s="124">
        <f t="shared" si="16"/>
        <v>81390.586120978129</v>
      </c>
    </row>
    <row r="45" spans="1:31" x14ac:dyDescent="0.25">
      <c r="A45" t="s">
        <v>457</v>
      </c>
      <c r="B45" s="118"/>
      <c r="C45" s="118">
        <v>65836.12</v>
      </c>
      <c r="D45" s="118">
        <v>65089.529999999955</v>
      </c>
      <c r="E45" s="118">
        <v>65225.27</v>
      </c>
      <c r="F45" s="118">
        <v>64627.369999999966</v>
      </c>
      <c r="G45" s="118">
        <v>64999.76999999999</v>
      </c>
      <c r="H45" s="118">
        <v>64745.45999999997</v>
      </c>
      <c r="I45" s="118">
        <v>64745.51999999996</v>
      </c>
      <c r="J45" s="118">
        <v>62494.06</v>
      </c>
      <c r="K45" s="118">
        <v>64154.899999999958</v>
      </c>
      <c r="L45" s="118">
        <v>65129.789999999994</v>
      </c>
      <c r="M45" s="118">
        <v>65164.829999999987</v>
      </c>
      <c r="N45" s="118">
        <v>65164.139999999978</v>
      </c>
      <c r="O45" s="118">
        <f t="shared" si="18"/>
        <v>777376.75999999978</v>
      </c>
      <c r="P45" s="118"/>
      <c r="Q45" s="118"/>
      <c r="R45" s="125"/>
      <c r="S45" s="125"/>
      <c r="T45" s="125"/>
      <c r="U45" s="125"/>
      <c r="V45" s="125"/>
      <c r="W45" s="125"/>
      <c r="X45" s="125"/>
      <c r="Y45" s="125"/>
      <c r="Z45" s="124">
        <f t="shared" si="17"/>
        <v>61927.460543625202</v>
      </c>
      <c r="AA45" s="124">
        <f t="shared" si="16"/>
        <v>147726.11583600927</v>
      </c>
      <c r="AB45" s="124">
        <f t="shared" si="16"/>
        <v>61871.822235150452</v>
      </c>
      <c r="AC45" s="124">
        <f t="shared" si="16"/>
        <v>778.26191490755275</v>
      </c>
      <c r="AD45" s="124">
        <f t="shared" si="16"/>
        <v>145.33400577346416</v>
      </c>
      <c r="AE45" s="124">
        <f t="shared" si="16"/>
        <v>504927.76546453376</v>
      </c>
    </row>
    <row r="46" spans="1:31" x14ac:dyDescent="0.25">
      <c r="A46" t="s">
        <v>436</v>
      </c>
      <c r="B46" s="118"/>
      <c r="C46" s="118">
        <v>6812.51</v>
      </c>
      <c r="D46" s="118">
        <v>5825.2800000000016</v>
      </c>
      <c r="E46" s="118">
        <v>5711.3300000000008</v>
      </c>
      <c r="F46" s="118">
        <v>5373.2500000000009</v>
      </c>
      <c r="G46" s="118">
        <v>5469.27</v>
      </c>
      <c r="H46" s="118">
        <v>5923.6200000000008</v>
      </c>
      <c r="I46" s="118">
        <v>6905.82</v>
      </c>
      <c r="J46" s="118">
        <v>7261.4600000000009</v>
      </c>
      <c r="K46" s="118">
        <v>8669.9000000000015</v>
      </c>
      <c r="L46" s="118">
        <v>10589.410000000002</v>
      </c>
      <c r="M46" s="118">
        <v>12104.600000000002</v>
      </c>
      <c r="N46" s="118">
        <v>12997.810000000001</v>
      </c>
      <c r="O46" s="118">
        <f t="shared" si="18"/>
        <v>93644.260000000009</v>
      </c>
      <c r="P46" s="118"/>
      <c r="Q46" s="118"/>
      <c r="R46" s="125"/>
      <c r="S46" s="125"/>
      <c r="T46" s="125"/>
      <c r="U46" s="125"/>
      <c r="V46" s="125"/>
      <c r="W46" s="125"/>
      <c r="X46" s="125"/>
      <c r="Y46" s="125"/>
      <c r="Z46" s="124">
        <f t="shared" si="17"/>
        <v>7459.897844498184</v>
      </c>
      <c r="AA46" s="124">
        <f t="shared" si="16"/>
        <v>17795.364502712142</v>
      </c>
      <c r="AB46" s="124">
        <f t="shared" si="16"/>
        <v>7453.1955496871451</v>
      </c>
      <c r="AC46" s="124">
        <f t="shared" si="16"/>
        <v>93.750887417448368</v>
      </c>
      <c r="AD46" s="124">
        <f t="shared" si="16"/>
        <v>17.507206445805998</v>
      </c>
      <c r="AE46" s="124">
        <f t="shared" si="16"/>
        <v>60824.544009239282</v>
      </c>
    </row>
    <row r="47" spans="1:31" x14ac:dyDescent="0.25">
      <c r="A47" t="s">
        <v>437</v>
      </c>
      <c r="B47" s="118"/>
      <c r="C47" s="118">
        <v>1595.98</v>
      </c>
      <c r="D47" s="118">
        <v>1595.98</v>
      </c>
      <c r="E47" s="118">
        <v>1595.98</v>
      </c>
      <c r="F47" s="118">
        <v>1595.98</v>
      </c>
      <c r="G47" s="118">
        <v>1595.98</v>
      </c>
      <c r="H47" s="118">
        <v>1595.98</v>
      </c>
      <c r="I47" s="118">
        <v>1595.98</v>
      </c>
      <c r="J47" s="118">
        <v>1595.98</v>
      </c>
      <c r="K47" s="118">
        <v>1595.98</v>
      </c>
      <c r="L47" s="118">
        <v>1595.98</v>
      </c>
      <c r="M47" s="118">
        <v>1595.98</v>
      </c>
      <c r="N47" s="118">
        <v>1595.98</v>
      </c>
      <c r="O47" s="118">
        <f t="shared" si="18"/>
        <v>19151.759999999998</v>
      </c>
      <c r="P47" s="118"/>
      <c r="Q47" s="118"/>
      <c r="R47" s="125"/>
      <c r="S47" s="125"/>
      <c r="T47" s="125"/>
      <c r="U47" s="125"/>
      <c r="V47" s="125"/>
      <c r="W47" s="125"/>
      <c r="X47" s="125"/>
      <c r="Y47" s="125"/>
      <c r="Z47" s="124">
        <f t="shared" si="17"/>
        <v>1525.6693057571977</v>
      </c>
      <c r="AA47" s="124">
        <f t="shared" si="16"/>
        <v>3639.43876611831</v>
      </c>
      <c r="AB47" s="124">
        <f t="shared" si="16"/>
        <v>1524.2985784785556</v>
      </c>
      <c r="AC47" s="124">
        <f t="shared" si="16"/>
        <v>19.17356702488749</v>
      </c>
      <c r="AD47" s="124">
        <f t="shared" si="16"/>
        <v>3.5805058005747434</v>
      </c>
      <c r="AE47" s="124">
        <f t="shared" si="16"/>
        <v>12439.599276820472</v>
      </c>
    </row>
    <row r="48" spans="1:31" x14ac:dyDescent="0.25">
      <c r="A48" t="s">
        <v>438</v>
      </c>
      <c r="B48" s="118"/>
      <c r="C48" s="118">
        <v>47366.249999999993</v>
      </c>
      <c r="D48" s="118">
        <v>48124.569999999992</v>
      </c>
      <c r="E48" s="118">
        <v>48823.839999999989</v>
      </c>
      <c r="F48" s="118">
        <v>51934.069999999992</v>
      </c>
      <c r="G48" s="118">
        <v>54071.149999999994</v>
      </c>
      <c r="H48" s="118">
        <v>55797.590000000004</v>
      </c>
      <c r="I48" s="118">
        <v>58093.539999999994</v>
      </c>
      <c r="J48" s="118">
        <v>60348.159999999996</v>
      </c>
      <c r="K48" s="118">
        <v>60677.27</v>
      </c>
      <c r="L48" s="118">
        <v>61942.680000000037</v>
      </c>
      <c r="M48" s="118">
        <v>65494.120000000017</v>
      </c>
      <c r="N48" s="118">
        <v>64898.66</v>
      </c>
      <c r="O48" s="118">
        <f t="shared" si="18"/>
        <v>677571.9</v>
      </c>
      <c r="P48" s="118"/>
      <c r="Q48" s="118"/>
      <c r="R48" s="125"/>
      <c r="S48" s="125"/>
      <c r="T48" s="125"/>
      <c r="U48" s="125"/>
      <c r="V48" s="125"/>
      <c r="W48" s="125"/>
      <c r="X48" s="125"/>
      <c r="Y48" s="125"/>
      <c r="Z48" s="124">
        <f t="shared" si="17"/>
        <v>53976.796402711057</v>
      </c>
      <c r="AA48" s="124">
        <f t="shared" si="16"/>
        <v>128760.04292516402</v>
      </c>
      <c r="AB48" s="124">
        <f t="shared" si="16"/>
        <v>53928.301314710196</v>
      </c>
      <c r="AC48" s="124">
        <f t="shared" si="16"/>
        <v>678.34341276365024</v>
      </c>
      <c r="AD48" s="124">
        <f t="shared" si="16"/>
        <v>126.67504805075097</v>
      </c>
      <c r="AE48" s="124">
        <f t="shared" si="16"/>
        <v>440101.7408966003</v>
      </c>
    </row>
    <row r="49" spans="1:31" x14ac:dyDescent="0.25">
      <c r="A49" t="s">
        <v>458</v>
      </c>
      <c r="B49" s="118"/>
      <c r="C49" s="118">
        <v>15067.77</v>
      </c>
      <c r="D49" s="118">
        <v>15067.78</v>
      </c>
      <c r="E49" s="118">
        <v>15067.79</v>
      </c>
      <c r="F49" s="118">
        <v>15067.800000000001</v>
      </c>
      <c r="G49" s="118">
        <v>15067.78</v>
      </c>
      <c r="H49" s="118">
        <v>15067.810000000001</v>
      </c>
      <c r="I49" s="118">
        <v>15067.77</v>
      </c>
      <c r="J49" s="118">
        <v>15067.77</v>
      </c>
      <c r="K49" s="118">
        <v>15067.77</v>
      </c>
      <c r="L49" s="118">
        <v>15067.79</v>
      </c>
      <c r="M49" s="118">
        <v>15067.79</v>
      </c>
      <c r="N49" s="118">
        <v>15067.77</v>
      </c>
      <c r="O49" s="118">
        <f t="shared" si="18"/>
        <v>180813.39</v>
      </c>
      <c r="P49" s="118"/>
      <c r="Q49" s="118"/>
      <c r="R49" s="125"/>
      <c r="S49" s="125"/>
      <c r="T49" s="125"/>
      <c r="U49" s="125"/>
      <c r="V49" s="125"/>
      <c r="W49" s="125"/>
      <c r="X49" s="125"/>
      <c r="Y49" s="125"/>
      <c r="Z49" s="124">
        <f t="shared" si="17"/>
        <v>14403.973274148459</v>
      </c>
      <c r="AA49" s="124">
        <f t="shared" si="16"/>
        <v>34360.249971765981</v>
      </c>
      <c r="AB49" s="124">
        <f t="shared" si="16"/>
        <v>14391.032121689532</v>
      </c>
      <c r="AC49" s="124">
        <f t="shared" si="16"/>
        <v>181.0192719709375</v>
      </c>
      <c r="AD49" s="124">
        <f t="shared" si="16"/>
        <v>33.803858847259129</v>
      </c>
      <c r="AE49" s="124">
        <f t="shared" si="16"/>
        <v>117443.31150157783</v>
      </c>
    </row>
    <row r="50" spans="1:31" x14ac:dyDescent="0.25">
      <c r="A50" t="s">
        <v>441</v>
      </c>
      <c r="B50" s="118"/>
      <c r="C50" s="118">
        <v>5147.6299999999992</v>
      </c>
      <c r="D50" s="118">
        <v>5147.6000000000004</v>
      </c>
      <c r="E50" s="118">
        <v>4577.9399999999996</v>
      </c>
      <c r="F50" s="118">
        <v>4356.41</v>
      </c>
      <c r="G50" s="118">
        <v>4556.83</v>
      </c>
      <c r="H50" s="118">
        <v>4556.8399999999992</v>
      </c>
      <c r="I50" s="118">
        <v>4556.8399999999992</v>
      </c>
      <c r="J50" s="118">
        <v>4556.8200000000006</v>
      </c>
      <c r="K50" s="118">
        <v>4556.8599999999997</v>
      </c>
      <c r="L50" s="118">
        <v>4556.8200000000006</v>
      </c>
      <c r="M50" s="118">
        <v>4556.8599999999997</v>
      </c>
      <c r="N50" s="118">
        <v>4556.83</v>
      </c>
      <c r="O50" s="118">
        <f t="shared" si="18"/>
        <v>55684.28</v>
      </c>
      <c r="P50" s="118"/>
      <c r="Q50" s="118"/>
      <c r="R50" s="125"/>
      <c r="S50" s="125"/>
      <c r="T50" s="125"/>
      <c r="U50" s="125"/>
      <c r="V50" s="125"/>
      <c r="W50" s="125"/>
      <c r="X50" s="125"/>
      <c r="Y50" s="125"/>
      <c r="Z50" s="124">
        <f t="shared" si="17"/>
        <v>4435.9263487632161</v>
      </c>
      <c r="AA50" s="124">
        <f t="shared" si="16"/>
        <v>10581.770411460175</v>
      </c>
      <c r="AB50" s="124">
        <f t="shared" si="16"/>
        <v>4431.9409207092122</v>
      </c>
      <c r="AC50" s="124">
        <f t="shared" si="16"/>
        <v>55.747684537222796</v>
      </c>
      <c r="AD50" s="124">
        <f t="shared" si="16"/>
        <v>10.410421159247411</v>
      </c>
      <c r="AE50" s="124">
        <f t="shared" si="16"/>
        <v>36168.484213370924</v>
      </c>
    </row>
    <row r="51" spans="1:31" x14ac:dyDescent="0.25">
      <c r="A51" s="116" t="s">
        <v>461</v>
      </c>
      <c r="B51" s="120"/>
      <c r="C51" s="117">
        <f t="shared" ref="C51:P51" si="19">SUM(C52:C53)</f>
        <v>5732.78</v>
      </c>
      <c r="D51" s="117">
        <f t="shared" si="19"/>
        <v>5732.7599999999993</v>
      </c>
      <c r="E51" s="117">
        <f t="shared" si="19"/>
        <v>5732.78</v>
      </c>
      <c r="F51" s="117">
        <f t="shared" si="19"/>
        <v>5732.7599999999993</v>
      </c>
      <c r="G51" s="117">
        <f t="shared" si="19"/>
        <v>5732.7699999999995</v>
      </c>
      <c r="H51" s="117">
        <f t="shared" si="19"/>
        <v>5732.7699999999995</v>
      </c>
      <c r="I51" s="117">
        <f t="shared" si="19"/>
        <v>5732.7599999999993</v>
      </c>
      <c r="J51" s="117">
        <f t="shared" si="19"/>
        <v>5732.78</v>
      </c>
      <c r="K51" s="117">
        <f t="shared" si="19"/>
        <v>5732.7599999999993</v>
      </c>
      <c r="L51" s="117">
        <f t="shared" si="19"/>
        <v>5732.78</v>
      </c>
      <c r="M51" s="117">
        <f t="shared" si="19"/>
        <v>5732.7499999999991</v>
      </c>
      <c r="N51" s="117">
        <f t="shared" si="19"/>
        <v>5732.77</v>
      </c>
      <c r="O51" s="117">
        <f t="shared" si="19"/>
        <v>68793.22</v>
      </c>
      <c r="P51" s="117">
        <f t="shared" si="19"/>
        <v>0</v>
      </c>
      <c r="Q51" s="118"/>
      <c r="R51" s="125"/>
      <c r="S51" s="125"/>
      <c r="T51" s="125"/>
      <c r="U51" s="125"/>
      <c r="V51" s="125"/>
      <c r="W51" s="125"/>
      <c r="X51" s="125"/>
      <c r="Y51" s="125"/>
      <c r="Z51" s="126">
        <f t="shared" si="17"/>
        <v>5480.2119595380364</v>
      </c>
      <c r="AA51" s="126">
        <f t="shared" si="16"/>
        <v>13072.882686192052</v>
      </c>
      <c r="AB51" s="126">
        <f t="shared" si="16"/>
        <v>5475.2883001333839</v>
      </c>
      <c r="AC51" s="126">
        <f t="shared" si="16"/>
        <v>68.871550945074006</v>
      </c>
      <c r="AD51" s="126">
        <f t="shared" si="16"/>
        <v>12.861195172152037</v>
      </c>
      <c r="AE51" s="126">
        <f t="shared" si="16"/>
        <v>44683.104308019298</v>
      </c>
    </row>
    <row r="52" spans="1:31" x14ac:dyDescent="0.25">
      <c r="A52" t="s">
        <v>435</v>
      </c>
      <c r="B52" s="118"/>
      <c r="C52" s="118">
        <v>49.480000000000004</v>
      </c>
      <c r="D52" s="118">
        <v>49.480000000000004</v>
      </c>
      <c r="E52" s="118">
        <v>49.480000000000004</v>
      </c>
      <c r="F52" s="118">
        <v>49.480000000000004</v>
      </c>
      <c r="G52" s="118">
        <v>49.480000000000004</v>
      </c>
      <c r="H52" s="118">
        <v>49.480000000000004</v>
      </c>
      <c r="I52" s="118">
        <v>49.480000000000004</v>
      </c>
      <c r="J52" s="118">
        <v>49.480000000000004</v>
      </c>
      <c r="K52" s="118">
        <v>49.480000000000004</v>
      </c>
      <c r="L52" s="118">
        <v>49.480000000000004</v>
      </c>
      <c r="M52" s="118">
        <v>49.480000000000004</v>
      </c>
      <c r="N52" s="118">
        <v>49.47</v>
      </c>
      <c r="O52" s="118">
        <f t="shared" si="18"/>
        <v>593.75000000000011</v>
      </c>
      <c r="P52" s="118"/>
      <c r="Q52" s="118"/>
      <c r="R52" s="125"/>
      <c r="S52" s="125"/>
      <c r="T52" s="125"/>
      <c r="U52" s="125"/>
      <c r="V52" s="125"/>
      <c r="W52" s="125"/>
      <c r="X52" s="125"/>
      <c r="Y52" s="125"/>
      <c r="Z52" s="124">
        <f t="shared" si="17"/>
        <v>47.29936832402538</v>
      </c>
      <c r="AA52" s="124">
        <f t="shared" si="16"/>
        <v>112.83123678360356</v>
      </c>
      <c r="AB52" s="124">
        <f t="shared" si="16"/>
        <v>47.2568725261617</v>
      </c>
      <c r="AC52" s="124">
        <f t="shared" si="16"/>
        <v>0.59442606951146792</v>
      </c>
      <c r="AD52" s="124">
        <f t="shared" si="16"/>
        <v>0.11100417502575505</v>
      </c>
      <c r="AE52" s="124">
        <f t="shared" si="16"/>
        <v>385.65709212167224</v>
      </c>
    </row>
    <row r="53" spans="1:31" x14ac:dyDescent="0.25">
      <c r="A53" t="s">
        <v>441</v>
      </c>
      <c r="B53" s="118"/>
      <c r="C53" s="118">
        <v>5683.3</v>
      </c>
      <c r="D53" s="118">
        <v>5683.28</v>
      </c>
      <c r="E53" s="118">
        <v>5683.3</v>
      </c>
      <c r="F53" s="118">
        <v>5683.28</v>
      </c>
      <c r="G53" s="118">
        <v>5683.29</v>
      </c>
      <c r="H53" s="118">
        <v>5683.29</v>
      </c>
      <c r="I53" s="118">
        <v>5683.28</v>
      </c>
      <c r="J53" s="118">
        <v>5683.3</v>
      </c>
      <c r="K53" s="118">
        <v>5683.28</v>
      </c>
      <c r="L53" s="118">
        <v>5683.3</v>
      </c>
      <c r="M53" s="118">
        <v>5683.2699999999995</v>
      </c>
      <c r="N53" s="118">
        <v>5683.3</v>
      </c>
      <c r="O53" s="118">
        <f t="shared" si="18"/>
        <v>68199.47</v>
      </c>
      <c r="P53" s="118"/>
      <c r="Q53" s="118"/>
      <c r="R53" s="125"/>
      <c r="S53" s="125"/>
      <c r="T53" s="125"/>
      <c r="U53" s="125"/>
      <c r="V53" s="125"/>
      <c r="W53" s="125"/>
      <c r="X53" s="125"/>
      <c r="Y53" s="125"/>
      <c r="Z53" s="124">
        <f t="shared" si="17"/>
        <v>5432.9125912140107</v>
      </c>
      <c r="AA53" s="124">
        <f t="shared" si="16"/>
        <v>12960.051449408447</v>
      </c>
      <c r="AB53" s="124">
        <f t="shared" si="16"/>
        <v>5428.0314276072231</v>
      </c>
      <c r="AC53" s="124">
        <f t="shared" si="16"/>
        <v>68.277124875562549</v>
      </c>
      <c r="AD53" s="124">
        <f t="shared" si="16"/>
        <v>12.750190997126282</v>
      </c>
      <c r="AE53" s="124">
        <f t="shared" si="16"/>
        <v>44297.447215897628</v>
      </c>
    </row>
    <row r="54" spans="1:31" ht="15.75" thickBot="1" x14ac:dyDescent="0.3">
      <c r="B54" s="117"/>
      <c r="C54" s="117">
        <f t="shared" ref="C54:O54" si="20">C51+C40</f>
        <v>184257.89999999997</v>
      </c>
      <c r="D54" s="117">
        <f t="shared" si="20"/>
        <v>183282.33999999997</v>
      </c>
      <c r="E54" s="117">
        <f t="shared" si="20"/>
        <v>182266.43</v>
      </c>
      <c r="F54" s="117">
        <f t="shared" si="20"/>
        <v>185111.23999999996</v>
      </c>
      <c r="G54" s="117">
        <f t="shared" si="20"/>
        <v>187806.69999999998</v>
      </c>
      <c r="H54" s="117">
        <f t="shared" si="20"/>
        <v>189626.09999999995</v>
      </c>
      <c r="I54" s="117">
        <f t="shared" si="20"/>
        <v>192904.23999999996</v>
      </c>
      <c r="J54" s="117">
        <f t="shared" si="20"/>
        <v>192709.41</v>
      </c>
      <c r="K54" s="117">
        <f t="shared" si="20"/>
        <v>196107.83999999994</v>
      </c>
      <c r="L54" s="117">
        <f t="shared" si="20"/>
        <v>200267.64000000004</v>
      </c>
      <c r="M54" s="117">
        <f t="shared" si="20"/>
        <v>205369.31</v>
      </c>
      <c r="N54" s="117">
        <f t="shared" si="20"/>
        <v>205666.32999999993</v>
      </c>
      <c r="O54" s="117">
        <f t="shared" si="20"/>
        <v>2305375.48</v>
      </c>
      <c r="P54" s="118"/>
      <c r="Q54" s="118"/>
      <c r="R54" s="125"/>
      <c r="S54" s="125"/>
      <c r="T54" s="125"/>
      <c r="U54" s="125"/>
      <c r="V54" s="125"/>
      <c r="W54" s="125"/>
      <c r="X54" s="125"/>
      <c r="Y54" s="125"/>
      <c r="Z54" s="129">
        <f t="shared" si="17"/>
        <v>183651.03823780513</v>
      </c>
      <c r="AA54" s="129">
        <f t="shared" si="16"/>
        <v>438094.09121514717</v>
      </c>
      <c r="AB54" s="129">
        <f t="shared" si="16"/>
        <v>183486.03820345065</v>
      </c>
      <c r="AC54" s="129">
        <f t="shared" si="16"/>
        <v>2308.0004805465487</v>
      </c>
      <c r="AD54" s="129">
        <f t="shared" si="16"/>
        <v>431.00008973811202</v>
      </c>
      <c r="AE54" s="129">
        <f t="shared" si="16"/>
        <v>1497405.3117733123</v>
      </c>
    </row>
    <row r="55" spans="1:31" ht="16.5" thickTop="1" x14ac:dyDescent="0.25">
      <c r="A55" s="112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25"/>
      <c r="S55" s="125"/>
      <c r="T55" s="125"/>
      <c r="U55" s="125"/>
      <c r="V55" s="125"/>
      <c r="W55" s="125"/>
      <c r="X55" s="125"/>
      <c r="Y55" s="125"/>
      <c r="Z55" s="130" t="s">
        <v>462</v>
      </c>
      <c r="AA55" s="124"/>
      <c r="AB55" s="124"/>
      <c r="AC55" s="124"/>
      <c r="AD55" s="124"/>
      <c r="AE55" s="124"/>
    </row>
    <row r="56" spans="1:31" x14ac:dyDescent="0.25">
      <c r="A56" s="116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18"/>
      <c r="Q56" s="118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</row>
    <row r="57" spans="1:31" x14ac:dyDescent="0.25"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</row>
    <row r="58" spans="1:31" x14ac:dyDescent="0.25"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</row>
    <row r="59" spans="1:31" x14ac:dyDescent="0.25"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</row>
    <row r="60" spans="1:31" x14ac:dyDescent="0.25"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</row>
    <row r="61" spans="1:31" x14ac:dyDescent="0.25"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</row>
    <row r="62" spans="1:31" x14ac:dyDescent="0.25"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</row>
    <row r="63" spans="1:31" x14ac:dyDescent="0.25"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</row>
    <row r="64" spans="1:31" x14ac:dyDescent="0.25"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</row>
    <row r="65" spans="1:31" x14ac:dyDescent="0.25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</row>
    <row r="66" spans="1:31" x14ac:dyDescent="0.25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</row>
    <row r="67" spans="1:31" x14ac:dyDescent="0.25">
      <c r="A67" s="116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</row>
    <row r="68" spans="1:31" x14ac:dyDescent="0.25"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</row>
    <row r="69" spans="1:31" x14ac:dyDescent="0.25"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</row>
    <row r="70" spans="1:31" x14ac:dyDescent="0.25">
      <c r="A70" s="116"/>
      <c r="B70" s="116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70"/>
  <sheetViews>
    <sheetView tabSelected="1" zoomScale="85" zoomScaleNormal="85" workbookViewId="0">
      <pane xSplit="1" ySplit="5" topLeftCell="J36" activePane="bottomRight" state="frozen"/>
      <selection pane="topRight" activeCell="B1" sqref="B1"/>
      <selection pane="bottomLeft" activeCell="A6" sqref="A6"/>
      <selection pane="bottomRight" activeCell="C48" sqref="C48"/>
    </sheetView>
  </sheetViews>
  <sheetFormatPr defaultRowHeight="15" x14ac:dyDescent="0.25"/>
  <cols>
    <col min="1" max="1" width="61.7109375" bestFit="1" customWidth="1"/>
    <col min="2" max="2" width="20.85546875" customWidth="1"/>
    <col min="3" max="14" width="11.28515625" bestFit="1" customWidth="1"/>
    <col min="15" max="15" width="11.5703125" bestFit="1" customWidth="1"/>
    <col min="16" max="16" width="4.7109375" bestFit="1" customWidth="1"/>
    <col min="17" max="17" width="12.7109375" bestFit="1" customWidth="1"/>
    <col min="18" max="18" width="13.28515625" bestFit="1" customWidth="1"/>
    <col min="19" max="19" width="12.140625" customWidth="1"/>
    <col min="20" max="20" width="11.42578125" customWidth="1"/>
    <col min="21" max="21" width="8.85546875" customWidth="1"/>
    <col min="22" max="22" width="8.42578125" bestFit="1" customWidth="1"/>
    <col min="23" max="23" width="12.140625" customWidth="1"/>
    <col min="25" max="25" width="8.42578125" bestFit="1" customWidth="1"/>
    <col min="26" max="28" width="11.42578125" bestFit="1" customWidth="1"/>
    <col min="29" max="29" width="9.28515625" bestFit="1" customWidth="1"/>
    <col min="30" max="30" width="8.42578125" bestFit="1" customWidth="1"/>
    <col min="31" max="31" width="11.85546875" bestFit="1" customWidth="1"/>
  </cols>
  <sheetData>
    <row r="1" spans="1:31" ht="15.75" x14ac:dyDescent="0.25">
      <c r="A1" s="112" t="s">
        <v>450</v>
      </c>
      <c r="Q1" s="4"/>
      <c r="R1" s="113" t="s">
        <v>2</v>
      </c>
      <c r="S1" s="4"/>
      <c r="T1" s="4"/>
      <c r="U1" s="4"/>
      <c r="V1" s="4"/>
      <c r="W1" s="4"/>
      <c r="X1" s="4"/>
      <c r="Y1" s="4" t="s">
        <v>1</v>
      </c>
      <c r="Z1" s="4" t="s">
        <v>3</v>
      </c>
      <c r="AA1" s="4"/>
      <c r="AB1" s="4"/>
      <c r="AC1" s="4"/>
      <c r="AD1" s="4"/>
      <c r="AE1" s="4"/>
    </row>
    <row r="2" spans="1:31" x14ac:dyDescent="0.25">
      <c r="Q2" s="4" t="s">
        <v>5</v>
      </c>
      <c r="R2" s="4" t="s">
        <v>6</v>
      </c>
      <c r="S2" s="4" t="s">
        <v>7</v>
      </c>
      <c r="T2" s="4" t="s">
        <v>8</v>
      </c>
      <c r="U2" s="4" t="s">
        <v>9</v>
      </c>
      <c r="V2" s="4" t="s">
        <v>10</v>
      </c>
      <c r="W2" s="4" t="s">
        <v>11</v>
      </c>
      <c r="X2" s="4"/>
      <c r="Y2" s="4" t="s">
        <v>5</v>
      </c>
      <c r="Z2" s="4" t="s">
        <v>6</v>
      </c>
      <c r="AA2" s="4" t="s">
        <v>7</v>
      </c>
      <c r="AB2" s="4" t="s">
        <v>8</v>
      </c>
      <c r="AC2" s="4" t="s">
        <v>9</v>
      </c>
      <c r="AD2" s="4" t="s">
        <v>10</v>
      </c>
      <c r="AE2" s="4" t="s">
        <v>11</v>
      </c>
    </row>
    <row r="3" spans="1:31" x14ac:dyDescent="0.25">
      <c r="Q3" s="4" t="s">
        <v>451</v>
      </c>
      <c r="R3" s="104">
        <f>'[1]Common Plant Allocation Factors'!C24</f>
        <v>7.9662094019411156E-2</v>
      </c>
      <c r="S3" s="104">
        <f>'[1]Common Plant Allocation Factors'!E24</f>
        <v>0.19003155668817437</v>
      </c>
      <c r="T3" s="104">
        <f>'[1]Common Plant Allocation Factors'!B24</f>
        <v>7.9590522149324952E-2</v>
      </c>
      <c r="U3" s="104">
        <f>'[1]Common Plant Allocation Factors'!D24</f>
        <v>1.0011386433877352E-3</v>
      </c>
      <c r="V3" s="104">
        <f>'[1]Common Plant Allocation Factors'!F24</f>
        <v>1.869544000433769E-4</v>
      </c>
      <c r="W3" s="104">
        <f>'[1]Common Plant Allocation Factors'!G24</f>
        <v>0.64952773409965836</v>
      </c>
      <c r="X3" s="4"/>
      <c r="Y3" s="4" t="s">
        <v>452</v>
      </c>
      <c r="Z3" s="104">
        <f>R3</f>
        <v>7.9662094019411156E-2</v>
      </c>
      <c r="AA3" s="104">
        <f t="shared" ref="AA3:AE3" si="0">S3</f>
        <v>0.19003155668817437</v>
      </c>
      <c r="AB3" s="104">
        <f t="shared" si="0"/>
        <v>7.9590522149324952E-2</v>
      </c>
      <c r="AC3" s="104">
        <f t="shared" si="0"/>
        <v>1.0011386433877352E-3</v>
      </c>
      <c r="AD3" s="104">
        <f t="shared" si="0"/>
        <v>1.869544000433769E-4</v>
      </c>
      <c r="AE3" s="104">
        <f t="shared" si="0"/>
        <v>0.64952773409965836</v>
      </c>
    </row>
    <row r="4" spans="1:31" x14ac:dyDescent="0.25"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26.25" x14ac:dyDescent="0.25">
      <c r="A5" s="112" t="s">
        <v>453</v>
      </c>
      <c r="B5" s="141">
        <v>44916</v>
      </c>
      <c r="C5" s="114">
        <f>B5+30</f>
        <v>44946</v>
      </c>
      <c r="D5" s="114">
        <f t="shared" ref="D5:N5" si="1">C5+30</f>
        <v>44976</v>
      </c>
      <c r="E5" s="114">
        <f t="shared" si="1"/>
        <v>45006</v>
      </c>
      <c r="F5" s="114">
        <f t="shared" si="1"/>
        <v>45036</v>
      </c>
      <c r="G5" s="114">
        <f t="shared" si="1"/>
        <v>45066</v>
      </c>
      <c r="H5" s="114">
        <f t="shared" si="1"/>
        <v>45096</v>
      </c>
      <c r="I5" s="114">
        <f t="shared" si="1"/>
        <v>45126</v>
      </c>
      <c r="J5" s="114">
        <f t="shared" si="1"/>
        <v>45156</v>
      </c>
      <c r="K5" s="114">
        <f t="shared" si="1"/>
        <v>45186</v>
      </c>
      <c r="L5" s="114">
        <f t="shared" si="1"/>
        <v>45216</v>
      </c>
      <c r="M5" s="114">
        <f t="shared" si="1"/>
        <v>45246</v>
      </c>
      <c r="N5" s="114">
        <f t="shared" si="1"/>
        <v>45276</v>
      </c>
      <c r="O5" s="115" t="s">
        <v>12</v>
      </c>
      <c r="Q5" s="4"/>
      <c r="R5" s="6"/>
      <c r="S5" s="6"/>
      <c r="T5" s="6"/>
      <c r="U5" s="6"/>
      <c r="V5" s="6"/>
      <c r="W5" s="6"/>
      <c r="X5" s="4"/>
      <c r="Y5" s="4"/>
      <c r="Z5" s="6"/>
      <c r="AA5" s="6"/>
      <c r="AB5" s="6"/>
      <c r="AC5" s="6"/>
      <c r="AD5" s="6"/>
      <c r="AE5" s="6"/>
    </row>
    <row r="6" spans="1:31" x14ac:dyDescent="0.25">
      <c r="A6" s="116" t="s">
        <v>454</v>
      </c>
      <c r="B6" s="117">
        <f>SUM(B7:B16)</f>
        <v>15392407.290000001</v>
      </c>
      <c r="C6" s="117">
        <f t="shared" ref="C6:O6" si="2">SUM(C7:C16)</f>
        <v>15553935.290000001</v>
      </c>
      <c r="D6" s="117">
        <f t="shared" si="2"/>
        <v>15553935.290000001</v>
      </c>
      <c r="E6" s="117">
        <f t="shared" si="2"/>
        <v>15603935.290000001</v>
      </c>
      <c r="F6" s="117">
        <f t="shared" si="2"/>
        <v>15603935.290000001</v>
      </c>
      <c r="G6" s="117">
        <f t="shared" si="2"/>
        <v>15603935.290000001</v>
      </c>
      <c r="H6" s="117">
        <f t="shared" si="2"/>
        <v>15814881.290000001</v>
      </c>
      <c r="I6" s="117">
        <f t="shared" si="2"/>
        <v>15814881.290000001</v>
      </c>
      <c r="J6" s="117">
        <f t="shared" si="2"/>
        <v>15814881.290000001</v>
      </c>
      <c r="K6" s="117">
        <f t="shared" si="2"/>
        <v>15814881.290000001</v>
      </c>
      <c r="L6" s="117">
        <f t="shared" si="2"/>
        <v>15814881.290000001</v>
      </c>
      <c r="M6" s="117">
        <f t="shared" si="2"/>
        <v>15814881.290000001</v>
      </c>
      <c r="N6" s="117">
        <f t="shared" si="2"/>
        <v>17673214.289999999</v>
      </c>
      <c r="O6" s="117">
        <f t="shared" si="2"/>
        <v>15836506.597692307</v>
      </c>
      <c r="Q6" s="4"/>
      <c r="R6" s="122">
        <f>$O6*R$3</f>
        <v>1261569.2775243896</v>
      </c>
      <c r="S6" s="122">
        <f t="shared" ref="S6:W18" si="3">$O6*S$3</f>
        <v>3009436.0012620129</v>
      </c>
      <c r="T6" s="122">
        <f t="shared" si="3"/>
        <v>1260435.8291315604</v>
      </c>
      <c r="U6" s="122">
        <f t="shared" si="3"/>
        <v>15854.538731214594</v>
      </c>
      <c r="V6" s="122">
        <f t="shared" si="3"/>
        <v>2960.7045897545449</v>
      </c>
      <c r="W6" s="122">
        <f t="shared" si="3"/>
        <v>10286250.246453375</v>
      </c>
      <c r="X6" s="123"/>
      <c r="Y6" s="123"/>
      <c r="Z6" s="122">
        <f>$N6*Z$3</f>
        <v>1407885.2583951808</v>
      </c>
      <c r="AA6" s="122">
        <f t="shared" ref="AA6:AE18" si="4">$N6*AA$3</f>
        <v>3358468.4232123881</v>
      </c>
      <c r="AB6" s="122">
        <f t="shared" si="4"/>
        <v>1406620.3533980113</v>
      </c>
      <c r="AC6" s="122">
        <f t="shared" si="4"/>
        <v>17693.337778591333</v>
      </c>
      <c r="AD6" s="122">
        <f t="shared" si="4"/>
        <v>3304.0851744249849</v>
      </c>
      <c r="AE6" s="122">
        <f t="shared" si="4"/>
        <v>11479242.832041401</v>
      </c>
    </row>
    <row r="7" spans="1:31" x14ac:dyDescent="0.25">
      <c r="A7" t="s">
        <v>455</v>
      </c>
      <c r="B7" s="68">
        <f>'Corporate and Skipjack Alloc 21'!N7</f>
        <v>5966.29</v>
      </c>
      <c r="C7" s="68">
        <f>B7</f>
        <v>5966.29</v>
      </c>
      <c r="D7" s="68">
        <f t="shared" ref="D7:N7" si="5">C7</f>
        <v>5966.29</v>
      </c>
      <c r="E7" s="68">
        <f t="shared" si="5"/>
        <v>5966.29</v>
      </c>
      <c r="F7" s="68">
        <f t="shared" si="5"/>
        <v>5966.29</v>
      </c>
      <c r="G7" s="68">
        <f t="shared" si="5"/>
        <v>5966.29</v>
      </c>
      <c r="H7" s="68">
        <f t="shared" si="5"/>
        <v>5966.29</v>
      </c>
      <c r="I7" s="68">
        <f t="shared" si="5"/>
        <v>5966.29</v>
      </c>
      <c r="J7" s="68">
        <f t="shared" si="5"/>
        <v>5966.29</v>
      </c>
      <c r="K7" s="68">
        <f t="shared" si="5"/>
        <v>5966.29</v>
      </c>
      <c r="L7" s="68">
        <f t="shared" si="5"/>
        <v>5966.29</v>
      </c>
      <c r="M7" s="68">
        <f t="shared" si="5"/>
        <v>5966.29</v>
      </c>
      <c r="N7" s="68">
        <f t="shared" si="5"/>
        <v>5966.29</v>
      </c>
      <c r="O7" s="68">
        <f>SUM(B7:N7)/13</f>
        <v>5966.2899999999991</v>
      </c>
      <c r="R7" s="124">
        <f t="shared" ref="R7:W20" si="6">$O7*R$3</f>
        <v>475.28715492707249</v>
      </c>
      <c r="S7" s="124">
        <f t="shared" si="3"/>
        <v>1133.7833763530878</v>
      </c>
      <c r="T7" s="124">
        <f t="shared" si="3"/>
        <v>474.86013639429592</v>
      </c>
      <c r="U7" s="124">
        <f t="shared" si="3"/>
        <v>5.9730834766578091</v>
      </c>
      <c r="V7" s="124">
        <f t="shared" si="3"/>
        <v>1.1154241674347989</v>
      </c>
      <c r="W7" s="124">
        <f t="shared" si="3"/>
        <v>3875.27082468145</v>
      </c>
      <c r="X7" s="125"/>
      <c r="Y7" s="125"/>
      <c r="Z7" s="124">
        <f t="shared" ref="Z7:AE20" si="7">$N7*Z$3</f>
        <v>475.28715492707261</v>
      </c>
      <c r="AA7" s="124">
        <f t="shared" si="4"/>
        <v>1133.7833763530878</v>
      </c>
      <c r="AB7" s="124">
        <f t="shared" si="4"/>
        <v>474.86013639429598</v>
      </c>
      <c r="AC7" s="124">
        <f t="shared" si="4"/>
        <v>5.97308347665781</v>
      </c>
      <c r="AD7" s="124">
        <f t="shared" si="4"/>
        <v>1.1154241674347991</v>
      </c>
      <c r="AE7" s="124">
        <f t="shared" si="4"/>
        <v>3875.2708246814504</v>
      </c>
    </row>
    <row r="8" spans="1:31" x14ac:dyDescent="0.25">
      <c r="A8" t="s">
        <v>434</v>
      </c>
      <c r="B8" s="68">
        <f>'Corporate and Skipjack Alloc 21'!N8</f>
        <v>5047142.1800000006</v>
      </c>
      <c r="C8" s="68">
        <f t="shared" ref="C8:N19" si="8">B8</f>
        <v>5047142.1800000006</v>
      </c>
      <c r="D8" s="68">
        <f t="shared" si="8"/>
        <v>5047142.1800000006</v>
      </c>
      <c r="E8" s="68">
        <f t="shared" si="8"/>
        <v>5047142.1800000006</v>
      </c>
      <c r="F8" s="68">
        <f t="shared" si="8"/>
        <v>5047142.1800000006</v>
      </c>
      <c r="G8" s="68">
        <f t="shared" si="8"/>
        <v>5047142.1800000006</v>
      </c>
      <c r="H8" s="68">
        <f t="shared" si="8"/>
        <v>5047142.1800000006</v>
      </c>
      <c r="I8" s="68">
        <f t="shared" si="8"/>
        <v>5047142.1800000006</v>
      </c>
      <c r="J8" s="68">
        <f t="shared" si="8"/>
        <v>5047142.1800000006</v>
      </c>
      <c r="K8" s="68">
        <f t="shared" si="8"/>
        <v>5047142.1800000006</v>
      </c>
      <c r="L8" s="68">
        <f t="shared" si="8"/>
        <v>5047142.1800000006</v>
      </c>
      <c r="M8" s="68">
        <f t="shared" si="8"/>
        <v>5047142.1800000006</v>
      </c>
      <c r="N8" s="68">
        <f t="shared" si="8"/>
        <v>5047142.1800000006</v>
      </c>
      <c r="O8" s="68">
        <f t="shared" ref="O8:O19" si="9">SUM(B8:N8)/13</f>
        <v>5047142.1800000006</v>
      </c>
      <c r="R8" s="124">
        <f t="shared" si="6"/>
        <v>402065.91487249581</v>
      </c>
      <c r="S8" s="124">
        <f t="shared" si="3"/>
        <v>959116.28529194603</v>
      </c>
      <c r="T8" s="124">
        <f t="shared" si="3"/>
        <v>401704.6814680823</v>
      </c>
      <c r="U8" s="124">
        <f t="shared" si="3"/>
        <v>5052.8890750702167</v>
      </c>
      <c r="V8" s="124">
        <f t="shared" si="3"/>
        <v>943.58543819552153</v>
      </c>
      <c r="W8" s="124">
        <f t="shared" si="3"/>
        <v>3278258.8238542103</v>
      </c>
      <c r="X8" s="125"/>
      <c r="Y8" s="125"/>
      <c r="Z8" s="124">
        <f t="shared" si="7"/>
        <v>402065.91487249581</v>
      </c>
      <c r="AA8" s="124">
        <f t="shared" si="4"/>
        <v>959116.28529194603</v>
      </c>
      <c r="AB8" s="124">
        <f t="shared" si="4"/>
        <v>401704.6814680823</v>
      </c>
      <c r="AC8" s="124">
        <f t="shared" si="4"/>
        <v>5052.8890750702167</v>
      </c>
      <c r="AD8" s="124">
        <f t="shared" si="4"/>
        <v>943.58543819552153</v>
      </c>
      <c r="AE8" s="124">
        <f t="shared" si="4"/>
        <v>3278258.8238542103</v>
      </c>
    </row>
    <row r="9" spans="1:31" x14ac:dyDescent="0.25">
      <c r="A9" t="s">
        <v>456</v>
      </c>
      <c r="B9" s="68">
        <f>'Corporate and Skipjack Alloc 21'!N9</f>
        <v>421491.92</v>
      </c>
      <c r="C9" s="68">
        <f t="shared" si="8"/>
        <v>421491.92</v>
      </c>
      <c r="D9" s="68">
        <f t="shared" si="8"/>
        <v>421491.92</v>
      </c>
      <c r="E9" s="68">
        <f t="shared" si="8"/>
        <v>421491.92</v>
      </c>
      <c r="F9" s="68">
        <f t="shared" si="8"/>
        <v>421491.92</v>
      </c>
      <c r="G9" s="68">
        <f t="shared" si="8"/>
        <v>421491.92</v>
      </c>
      <c r="H9" s="68">
        <f t="shared" si="8"/>
        <v>421491.92</v>
      </c>
      <c r="I9" s="68">
        <f t="shared" si="8"/>
        <v>421491.92</v>
      </c>
      <c r="J9" s="68">
        <f t="shared" si="8"/>
        <v>421491.92</v>
      </c>
      <c r="K9" s="68">
        <f t="shared" si="8"/>
        <v>421491.92</v>
      </c>
      <c r="L9" s="68">
        <f t="shared" si="8"/>
        <v>421491.92</v>
      </c>
      <c r="M9" s="68">
        <f t="shared" si="8"/>
        <v>421491.92</v>
      </c>
      <c r="N9" s="68">
        <f t="shared" si="8"/>
        <v>421491.92</v>
      </c>
      <c r="O9" s="68">
        <f t="shared" si="9"/>
        <v>421491.92</v>
      </c>
      <c r="R9" s="124">
        <f t="shared" si="6"/>
        <v>33576.928959462122</v>
      </c>
      <c r="S9" s="124">
        <f t="shared" si="3"/>
        <v>80096.76568908745</v>
      </c>
      <c r="T9" s="124">
        <f t="shared" si="3"/>
        <v>33546.761994521497</v>
      </c>
      <c r="U9" s="124">
        <f t="shared" si="3"/>
        <v>421.97184898769177</v>
      </c>
      <c r="V9" s="124">
        <f t="shared" si="3"/>
        <v>78.799769026731013</v>
      </c>
      <c r="W9" s="124">
        <f t="shared" si="3"/>
        <v>273770.69173891447</v>
      </c>
      <c r="X9" s="125"/>
      <c r="Y9" s="125"/>
      <c r="Z9" s="124">
        <f t="shared" si="7"/>
        <v>33576.928959462122</v>
      </c>
      <c r="AA9" s="124">
        <f t="shared" si="4"/>
        <v>80096.76568908745</v>
      </c>
      <c r="AB9" s="124">
        <f t="shared" si="4"/>
        <v>33546.761994521497</v>
      </c>
      <c r="AC9" s="124">
        <f t="shared" si="4"/>
        <v>421.97184898769177</v>
      </c>
      <c r="AD9" s="124">
        <f t="shared" si="4"/>
        <v>78.799769026731013</v>
      </c>
      <c r="AE9" s="124">
        <f t="shared" si="4"/>
        <v>273770.69173891447</v>
      </c>
    </row>
    <row r="10" spans="1:31" x14ac:dyDescent="0.25">
      <c r="A10" t="s">
        <v>435</v>
      </c>
      <c r="B10" s="68">
        <f>'Corporate and Skipjack Alloc 21'!N10</f>
        <v>1182442.1100000001</v>
      </c>
      <c r="C10" s="68">
        <f t="shared" si="8"/>
        <v>1182442.1100000001</v>
      </c>
      <c r="D10" s="68">
        <f t="shared" si="8"/>
        <v>1182442.1100000001</v>
      </c>
      <c r="E10" s="68">
        <f t="shared" si="8"/>
        <v>1182442.1100000001</v>
      </c>
      <c r="F10" s="68">
        <f t="shared" si="8"/>
        <v>1182442.1100000001</v>
      </c>
      <c r="G10" s="68">
        <f t="shared" si="8"/>
        <v>1182442.1100000001</v>
      </c>
      <c r="H10" s="68">
        <f t="shared" si="8"/>
        <v>1182442.1100000001</v>
      </c>
      <c r="I10" s="68">
        <f t="shared" si="8"/>
        <v>1182442.1100000001</v>
      </c>
      <c r="J10" s="68">
        <f t="shared" si="8"/>
        <v>1182442.1100000001</v>
      </c>
      <c r="K10" s="68">
        <f t="shared" si="8"/>
        <v>1182442.1100000001</v>
      </c>
      <c r="L10" s="68">
        <f t="shared" si="8"/>
        <v>1182442.1100000001</v>
      </c>
      <c r="M10" s="68">
        <f t="shared" si="8"/>
        <v>1182442.1100000001</v>
      </c>
      <c r="N10" s="68">
        <f t="shared" si="8"/>
        <v>1182442.1100000001</v>
      </c>
      <c r="O10" s="68">
        <f t="shared" si="9"/>
        <v>1182442.1099999999</v>
      </c>
      <c r="R10" s="124">
        <f t="shared" si="6"/>
        <v>94195.814539330895</v>
      </c>
      <c r="S10" s="124">
        <f t="shared" si="3"/>
        <v>224701.3148569495</v>
      </c>
      <c r="T10" s="124">
        <f t="shared" si="3"/>
        <v>94111.184946249516</v>
      </c>
      <c r="U10" s="124">
        <f t="shared" si="3"/>
        <v>1183.788489889931</v>
      </c>
      <c r="V10" s="124">
        <f t="shared" si="3"/>
        <v>221.06275526107464</v>
      </c>
      <c r="W10" s="124">
        <f t="shared" si="3"/>
        <v>768028.94441231887</v>
      </c>
      <c r="X10" s="125"/>
      <c r="Y10" s="125"/>
      <c r="Z10" s="124">
        <f t="shared" si="7"/>
        <v>94195.81453933091</v>
      </c>
      <c r="AA10" s="124">
        <f t="shared" si="4"/>
        <v>224701.31485694952</v>
      </c>
      <c r="AB10" s="124">
        <f t="shared" si="4"/>
        <v>94111.184946249545</v>
      </c>
      <c r="AC10" s="124">
        <f t="shared" si="4"/>
        <v>1183.7884898899313</v>
      </c>
      <c r="AD10" s="124">
        <f t="shared" si="4"/>
        <v>221.0627552610747</v>
      </c>
      <c r="AE10" s="124">
        <f t="shared" si="4"/>
        <v>768028.94441231911</v>
      </c>
    </row>
    <row r="11" spans="1:31" x14ac:dyDescent="0.25">
      <c r="A11" t="s">
        <v>457</v>
      </c>
      <c r="B11" s="68">
        <f>'Corporate and Skipjack Alloc 21'!N11</f>
        <v>3850066.0300000017</v>
      </c>
      <c r="C11" s="68">
        <f>B11+161528</f>
        <v>4011594.0300000017</v>
      </c>
      <c r="D11" s="68">
        <f t="shared" si="8"/>
        <v>4011594.0300000017</v>
      </c>
      <c r="E11" s="68">
        <f>D11+50000</f>
        <v>4061594.0300000017</v>
      </c>
      <c r="F11" s="68">
        <f t="shared" si="8"/>
        <v>4061594.0300000017</v>
      </c>
      <c r="G11" s="68">
        <f t="shared" si="8"/>
        <v>4061594.0300000017</v>
      </c>
      <c r="H11" s="68">
        <f>G11+210946</f>
        <v>4272540.0300000012</v>
      </c>
      <c r="I11" s="68">
        <f t="shared" si="8"/>
        <v>4272540.0300000012</v>
      </c>
      <c r="J11" s="68">
        <f t="shared" si="8"/>
        <v>4272540.0300000012</v>
      </c>
      <c r="K11" s="68">
        <f t="shared" si="8"/>
        <v>4272540.0300000012</v>
      </c>
      <c r="L11" s="68">
        <f t="shared" si="8"/>
        <v>4272540.0300000012</v>
      </c>
      <c r="M11" s="68">
        <f t="shared" si="8"/>
        <v>4272540.0300000012</v>
      </c>
      <c r="N11" s="68">
        <f>M11+1858333</f>
        <v>6130873.0300000012</v>
      </c>
      <c r="O11" s="68">
        <f t="shared" si="9"/>
        <v>4294165.3376923092</v>
      </c>
      <c r="R11" s="124">
        <f t="shared" si="6"/>
        <v>342082.20286614116</v>
      </c>
      <c r="S11" s="124">
        <f t="shared" si="3"/>
        <v>816026.92379806947</v>
      </c>
      <c r="T11" s="124">
        <f t="shared" si="3"/>
        <v>341774.8614224632</v>
      </c>
      <c r="U11" s="124">
        <f t="shared" si="3"/>
        <v>4299.0548606599141</v>
      </c>
      <c r="V11" s="124">
        <f t="shared" si="3"/>
        <v>802.81310439533058</v>
      </c>
      <c r="W11" s="124">
        <f t="shared" si="3"/>
        <v>2789179.4816405796</v>
      </c>
      <c r="X11" s="125"/>
      <c r="Y11" s="125"/>
      <c r="Z11" s="124">
        <f t="shared" si="7"/>
        <v>488398.18373693223</v>
      </c>
      <c r="AA11" s="124">
        <f t="shared" si="4"/>
        <v>1165059.3457484446</v>
      </c>
      <c r="AB11" s="124">
        <f t="shared" si="4"/>
        <v>487959.3856889141</v>
      </c>
      <c r="AC11" s="124">
        <f t="shared" si="4"/>
        <v>6137.8539080366545</v>
      </c>
      <c r="AD11" s="124">
        <f t="shared" si="4"/>
        <v>1146.1936890657705</v>
      </c>
      <c r="AE11" s="124">
        <f t="shared" si="4"/>
        <v>3982172.0672286074</v>
      </c>
    </row>
    <row r="12" spans="1:31" x14ac:dyDescent="0.25">
      <c r="A12" t="s">
        <v>436</v>
      </c>
      <c r="B12" s="68">
        <f>'Corporate and Skipjack Alloc 21'!N12</f>
        <v>871991.45999999973</v>
      </c>
      <c r="C12" s="68">
        <f t="shared" si="8"/>
        <v>871991.45999999973</v>
      </c>
      <c r="D12" s="68">
        <f t="shared" si="8"/>
        <v>871991.45999999973</v>
      </c>
      <c r="E12" s="68">
        <f t="shared" si="8"/>
        <v>871991.45999999973</v>
      </c>
      <c r="F12" s="68">
        <f t="shared" si="8"/>
        <v>871991.45999999973</v>
      </c>
      <c r="G12" s="68">
        <f t="shared" si="8"/>
        <v>871991.45999999973</v>
      </c>
      <c r="H12" s="68">
        <f t="shared" si="8"/>
        <v>871991.45999999973</v>
      </c>
      <c r="I12" s="68">
        <f t="shared" si="8"/>
        <v>871991.45999999973</v>
      </c>
      <c r="J12" s="68">
        <f t="shared" si="8"/>
        <v>871991.45999999973</v>
      </c>
      <c r="K12" s="68">
        <f t="shared" si="8"/>
        <v>871991.45999999973</v>
      </c>
      <c r="L12" s="68">
        <f t="shared" si="8"/>
        <v>871991.45999999973</v>
      </c>
      <c r="M12" s="68">
        <f t="shared" si="8"/>
        <v>871991.45999999973</v>
      </c>
      <c r="N12" s="68">
        <f t="shared" si="8"/>
        <v>871991.45999999973</v>
      </c>
      <c r="O12" s="68">
        <f t="shared" si="9"/>
        <v>871991.45999999961</v>
      </c>
      <c r="R12" s="124">
        <f t="shared" si="6"/>
        <v>69464.665670643575</v>
      </c>
      <c r="S12" s="124">
        <f t="shared" si="3"/>
        <v>165705.89456259386</v>
      </c>
      <c r="T12" s="124">
        <f t="shared" si="3"/>
        <v>69402.25561115217</v>
      </c>
      <c r="U12" s="124">
        <f t="shared" si="3"/>
        <v>872.98434731009013</v>
      </c>
      <c r="V12" s="124">
        <f t="shared" si="3"/>
        <v>163.02264024724821</v>
      </c>
      <c r="W12" s="124">
        <f t="shared" si="3"/>
        <v>566382.63716805261</v>
      </c>
      <c r="X12" s="125"/>
      <c r="Y12" s="125"/>
      <c r="Z12" s="124">
        <f t="shared" si="7"/>
        <v>69464.665670643575</v>
      </c>
      <c r="AA12" s="124">
        <f t="shared" si="4"/>
        <v>165705.89456259389</v>
      </c>
      <c r="AB12" s="124">
        <f t="shared" si="4"/>
        <v>69402.255611152184</v>
      </c>
      <c r="AC12" s="124">
        <f t="shared" si="4"/>
        <v>872.98434731009024</v>
      </c>
      <c r="AD12" s="124">
        <f t="shared" si="4"/>
        <v>163.02264024724823</v>
      </c>
      <c r="AE12" s="124">
        <f t="shared" si="4"/>
        <v>566382.63716805272</v>
      </c>
    </row>
    <row r="13" spans="1:31" x14ac:dyDescent="0.25">
      <c r="A13" t="s">
        <v>437</v>
      </c>
      <c r="B13" s="68">
        <f>'Corporate and Skipjack Alloc 21'!N13</f>
        <v>133969.25</v>
      </c>
      <c r="C13" s="68">
        <f t="shared" si="8"/>
        <v>133969.25</v>
      </c>
      <c r="D13" s="68">
        <f t="shared" si="8"/>
        <v>133969.25</v>
      </c>
      <c r="E13" s="68">
        <f t="shared" si="8"/>
        <v>133969.25</v>
      </c>
      <c r="F13" s="68">
        <f t="shared" si="8"/>
        <v>133969.25</v>
      </c>
      <c r="G13" s="68">
        <f t="shared" si="8"/>
        <v>133969.25</v>
      </c>
      <c r="H13" s="68">
        <f t="shared" si="8"/>
        <v>133969.25</v>
      </c>
      <c r="I13" s="68">
        <f t="shared" si="8"/>
        <v>133969.25</v>
      </c>
      <c r="J13" s="68">
        <f t="shared" si="8"/>
        <v>133969.25</v>
      </c>
      <c r="K13" s="68">
        <f t="shared" si="8"/>
        <v>133969.25</v>
      </c>
      <c r="L13" s="68">
        <f t="shared" si="8"/>
        <v>133969.25</v>
      </c>
      <c r="M13" s="68">
        <f t="shared" si="8"/>
        <v>133969.25</v>
      </c>
      <c r="N13" s="68">
        <f t="shared" si="8"/>
        <v>133969.25</v>
      </c>
      <c r="O13" s="68">
        <f t="shared" si="9"/>
        <v>133969.25</v>
      </c>
      <c r="R13" s="124">
        <f t="shared" si="6"/>
        <v>10672.270989209997</v>
      </c>
      <c r="S13" s="124">
        <f t="shared" si="3"/>
        <v>25458.385125847202</v>
      </c>
      <c r="T13" s="124">
        <f t="shared" si="3"/>
        <v>10662.682559453451</v>
      </c>
      <c r="U13" s="124">
        <f t="shared" si="3"/>
        <v>134.12179320067233</v>
      </c>
      <c r="V13" s="124">
        <f t="shared" si="3"/>
        <v>25.04614075801117</v>
      </c>
      <c r="W13" s="124">
        <f t="shared" si="3"/>
        <v>87016.743391530661</v>
      </c>
      <c r="X13" s="125"/>
      <c r="Y13" s="125"/>
      <c r="Z13" s="124">
        <f t="shared" si="7"/>
        <v>10672.270989209997</v>
      </c>
      <c r="AA13" s="124">
        <f t="shared" si="4"/>
        <v>25458.385125847202</v>
      </c>
      <c r="AB13" s="124">
        <f t="shared" si="4"/>
        <v>10662.682559453451</v>
      </c>
      <c r="AC13" s="124">
        <f t="shared" si="4"/>
        <v>134.12179320067233</v>
      </c>
      <c r="AD13" s="124">
        <f t="shared" si="4"/>
        <v>25.04614075801117</v>
      </c>
      <c r="AE13" s="124">
        <f t="shared" si="4"/>
        <v>87016.743391530661</v>
      </c>
    </row>
    <row r="14" spans="1:31" x14ac:dyDescent="0.25">
      <c r="A14" t="s">
        <v>438</v>
      </c>
      <c r="B14" s="68">
        <f>'Corporate and Skipjack Alloc 21'!N14</f>
        <v>2265779.04</v>
      </c>
      <c r="C14" s="68">
        <f t="shared" si="8"/>
        <v>2265779.04</v>
      </c>
      <c r="D14" s="68">
        <f t="shared" si="8"/>
        <v>2265779.04</v>
      </c>
      <c r="E14" s="68">
        <f t="shared" si="8"/>
        <v>2265779.04</v>
      </c>
      <c r="F14" s="68">
        <f t="shared" si="8"/>
        <v>2265779.04</v>
      </c>
      <c r="G14" s="68">
        <f t="shared" si="8"/>
        <v>2265779.04</v>
      </c>
      <c r="H14" s="68">
        <f t="shared" si="8"/>
        <v>2265779.04</v>
      </c>
      <c r="I14" s="68">
        <f t="shared" si="8"/>
        <v>2265779.04</v>
      </c>
      <c r="J14" s="68">
        <f t="shared" si="8"/>
        <v>2265779.04</v>
      </c>
      <c r="K14" s="68">
        <f t="shared" si="8"/>
        <v>2265779.04</v>
      </c>
      <c r="L14" s="68">
        <f t="shared" si="8"/>
        <v>2265779.04</v>
      </c>
      <c r="M14" s="68">
        <f t="shared" si="8"/>
        <v>2265779.04</v>
      </c>
      <c r="N14" s="68">
        <f t="shared" si="8"/>
        <v>2265779.04</v>
      </c>
      <c r="O14" s="68">
        <f t="shared" si="9"/>
        <v>2265779.0399999996</v>
      </c>
      <c r="R14" s="124">
        <f t="shared" si="6"/>
        <v>180496.70291169113</v>
      </c>
      <c r="S14" s="124">
        <f t="shared" si="3"/>
        <v>430569.51808263722</v>
      </c>
      <c r="T14" s="124">
        <f t="shared" si="3"/>
        <v>180334.53686859619</v>
      </c>
      <c r="U14" s="124">
        <f t="shared" si="3"/>
        <v>2268.3589543219646</v>
      </c>
      <c r="V14" s="124">
        <f t="shared" si="3"/>
        <v>423.59736105405841</v>
      </c>
      <c r="W14" s="124">
        <f t="shared" si="3"/>
        <v>1471686.3258216989</v>
      </c>
      <c r="X14" s="125"/>
      <c r="Y14" s="125"/>
      <c r="Z14" s="124">
        <f t="shared" si="7"/>
        <v>180496.70291169116</v>
      </c>
      <c r="AA14" s="124">
        <f t="shared" si="4"/>
        <v>430569.51808263728</v>
      </c>
      <c r="AB14" s="124">
        <f t="shared" si="4"/>
        <v>180334.53686859622</v>
      </c>
      <c r="AC14" s="124">
        <f t="shared" si="4"/>
        <v>2268.358954321965</v>
      </c>
      <c r="AD14" s="124">
        <f t="shared" si="4"/>
        <v>423.59736105405847</v>
      </c>
      <c r="AE14" s="124">
        <f t="shared" si="4"/>
        <v>1471686.3258216991</v>
      </c>
    </row>
    <row r="15" spans="1:31" x14ac:dyDescent="0.25">
      <c r="A15" t="s">
        <v>458</v>
      </c>
      <c r="B15" s="68">
        <f>'Corporate and Skipjack Alloc 21'!N15</f>
        <v>1244509.3299999998</v>
      </c>
      <c r="C15" s="68">
        <f t="shared" si="8"/>
        <v>1244509.3299999998</v>
      </c>
      <c r="D15" s="68">
        <f t="shared" si="8"/>
        <v>1244509.3299999998</v>
      </c>
      <c r="E15" s="68">
        <f t="shared" si="8"/>
        <v>1244509.3299999998</v>
      </c>
      <c r="F15" s="68">
        <f t="shared" si="8"/>
        <v>1244509.3299999998</v>
      </c>
      <c r="G15" s="68">
        <f t="shared" si="8"/>
        <v>1244509.3299999998</v>
      </c>
      <c r="H15" s="68">
        <f t="shared" si="8"/>
        <v>1244509.3299999998</v>
      </c>
      <c r="I15" s="68">
        <f t="shared" si="8"/>
        <v>1244509.3299999998</v>
      </c>
      <c r="J15" s="68">
        <f t="shared" si="8"/>
        <v>1244509.3299999998</v>
      </c>
      <c r="K15" s="68">
        <f t="shared" si="8"/>
        <v>1244509.3299999998</v>
      </c>
      <c r="L15" s="68">
        <f t="shared" si="8"/>
        <v>1244509.3299999998</v>
      </c>
      <c r="M15" s="68">
        <f t="shared" si="8"/>
        <v>1244509.3299999998</v>
      </c>
      <c r="N15" s="68">
        <f t="shared" si="8"/>
        <v>1244509.3299999998</v>
      </c>
      <c r="O15" s="68">
        <f t="shared" si="9"/>
        <v>1244509.3299999998</v>
      </c>
      <c r="R15" s="124">
        <f t="shared" si="6"/>
        <v>99140.219254494368</v>
      </c>
      <c r="S15" s="124">
        <f t="shared" si="3"/>
        <v>236496.04529285687</v>
      </c>
      <c r="T15" s="124">
        <f t="shared" si="3"/>
        <v>99051.147394406536</v>
      </c>
      <c r="U15" s="124">
        <f t="shared" si="3"/>
        <v>1245.926382319579</v>
      </c>
      <c r="V15" s="124">
        <f t="shared" si="3"/>
        <v>232.66649513853491</v>
      </c>
      <c r="W15" s="124">
        <f t="shared" si="3"/>
        <v>808343.32518078387</v>
      </c>
      <c r="X15" s="125"/>
      <c r="Y15" s="125"/>
      <c r="Z15" s="124">
        <f t="shared" si="7"/>
        <v>99140.219254494368</v>
      </c>
      <c r="AA15" s="124">
        <f t="shared" si="4"/>
        <v>236496.04529285687</v>
      </c>
      <c r="AB15" s="124">
        <f t="shared" si="4"/>
        <v>99051.147394406536</v>
      </c>
      <c r="AC15" s="124">
        <f t="shared" si="4"/>
        <v>1245.926382319579</v>
      </c>
      <c r="AD15" s="124">
        <f t="shared" si="4"/>
        <v>232.66649513853491</v>
      </c>
      <c r="AE15" s="124">
        <f t="shared" si="4"/>
        <v>808343.32518078387</v>
      </c>
    </row>
    <row r="16" spans="1:31" x14ac:dyDescent="0.25">
      <c r="A16" t="s">
        <v>441</v>
      </c>
      <c r="B16" s="68">
        <f>'Corporate and Skipjack Alloc 21'!N16</f>
        <v>369049.68000000005</v>
      </c>
      <c r="C16" s="68">
        <f t="shared" si="8"/>
        <v>369049.68000000005</v>
      </c>
      <c r="D16" s="68">
        <f t="shared" si="8"/>
        <v>369049.68000000005</v>
      </c>
      <c r="E16" s="68">
        <f t="shared" si="8"/>
        <v>369049.68000000005</v>
      </c>
      <c r="F16" s="68">
        <f t="shared" si="8"/>
        <v>369049.68000000005</v>
      </c>
      <c r="G16" s="68">
        <f t="shared" si="8"/>
        <v>369049.68000000005</v>
      </c>
      <c r="H16" s="68">
        <f t="shared" si="8"/>
        <v>369049.68000000005</v>
      </c>
      <c r="I16" s="68">
        <f t="shared" si="8"/>
        <v>369049.68000000005</v>
      </c>
      <c r="J16" s="68">
        <f t="shared" si="8"/>
        <v>369049.68000000005</v>
      </c>
      <c r="K16" s="68">
        <f t="shared" si="8"/>
        <v>369049.68000000005</v>
      </c>
      <c r="L16" s="68">
        <f t="shared" si="8"/>
        <v>369049.68000000005</v>
      </c>
      <c r="M16" s="68">
        <f t="shared" si="8"/>
        <v>369049.68000000005</v>
      </c>
      <c r="N16" s="68">
        <f t="shared" si="8"/>
        <v>369049.68000000005</v>
      </c>
      <c r="O16" s="68">
        <f t="shared" si="9"/>
        <v>369049.68000000005</v>
      </c>
      <c r="R16" s="124">
        <f t="shared" si="6"/>
        <v>29399.270305993607</v>
      </c>
      <c r="S16" s="124">
        <f t="shared" si="3"/>
        <v>70131.085185672622</v>
      </c>
      <c r="T16" s="124">
        <f t="shared" si="3"/>
        <v>29372.856730241288</v>
      </c>
      <c r="U16" s="124">
        <f t="shared" si="3"/>
        <v>369.46989597787785</v>
      </c>
      <c r="V16" s="124">
        <f t="shared" si="3"/>
        <v>68.995461510600236</v>
      </c>
      <c r="W16" s="124">
        <f t="shared" si="3"/>
        <v>239708.00242060403</v>
      </c>
      <c r="X16" s="125"/>
      <c r="Y16" s="125"/>
      <c r="Z16" s="124">
        <f t="shared" si="7"/>
        <v>29399.270305993607</v>
      </c>
      <c r="AA16" s="124">
        <f t="shared" si="4"/>
        <v>70131.085185672622</v>
      </c>
      <c r="AB16" s="124">
        <f t="shared" si="4"/>
        <v>29372.856730241288</v>
      </c>
      <c r="AC16" s="124">
        <f t="shared" si="4"/>
        <v>369.46989597787785</v>
      </c>
      <c r="AD16" s="124">
        <f t="shared" si="4"/>
        <v>68.995461510600236</v>
      </c>
      <c r="AE16" s="124">
        <f t="shared" si="4"/>
        <v>239708.00242060403</v>
      </c>
    </row>
    <row r="17" spans="1:32" x14ac:dyDescent="0.25">
      <c r="A17" s="116" t="s">
        <v>459</v>
      </c>
      <c r="B17" s="117">
        <f t="shared" ref="B17:O17" si="10">SUM(B18:B19)</f>
        <v>475306.17</v>
      </c>
      <c r="C17" s="68">
        <f t="shared" si="8"/>
        <v>475306.17</v>
      </c>
      <c r="D17" s="68">
        <f t="shared" si="8"/>
        <v>475306.17</v>
      </c>
      <c r="E17" s="68">
        <f t="shared" si="8"/>
        <v>475306.17</v>
      </c>
      <c r="F17" s="68">
        <f t="shared" si="8"/>
        <v>475306.17</v>
      </c>
      <c r="G17" s="68">
        <f t="shared" si="8"/>
        <v>475306.17</v>
      </c>
      <c r="H17" s="68">
        <f t="shared" si="8"/>
        <v>475306.17</v>
      </c>
      <c r="I17" s="68">
        <f t="shared" si="8"/>
        <v>475306.17</v>
      </c>
      <c r="J17" s="68">
        <f t="shared" si="8"/>
        <v>475306.17</v>
      </c>
      <c r="K17" s="68">
        <f t="shared" si="8"/>
        <v>475306.17</v>
      </c>
      <c r="L17" s="68">
        <f t="shared" si="8"/>
        <v>475306.17</v>
      </c>
      <c r="M17" s="68">
        <f t="shared" si="8"/>
        <v>475306.17</v>
      </c>
      <c r="N17" s="68">
        <f t="shared" si="8"/>
        <v>475306.17</v>
      </c>
      <c r="O17" s="117">
        <f t="shared" si="10"/>
        <v>475306.17</v>
      </c>
      <c r="R17" s="126">
        <f t="shared" si="6"/>
        <v>37863.884802546221</v>
      </c>
      <c r="S17" s="126">
        <f t="shared" si="3"/>
        <v>90323.171388594041</v>
      </c>
      <c r="T17" s="126">
        <f t="shared" si="3"/>
        <v>37829.866251095809</v>
      </c>
      <c r="U17" s="126">
        <f t="shared" si="3"/>
        <v>475.84737422762021</v>
      </c>
      <c r="V17" s="126">
        <f t="shared" si="3"/>
        <v>88.860579849265307</v>
      </c>
      <c r="W17" s="126">
        <f t="shared" si="3"/>
        <v>308724.53960368701</v>
      </c>
      <c r="X17" s="125"/>
      <c r="Y17" s="125"/>
      <c r="Z17" s="126">
        <f t="shared" si="7"/>
        <v>37863.884802546221</v>
      </c>
      <c r="AA17" s="126">
        <f t="shared" si="4"/>
        <v>90323.171388594041</v>
      </c>
      <c r="AB17" s="126">
        <f t="shared" si="4"/>
        <v>37829.866251095809</v>
      </c>
      <c r="AC17" s="126">
        <f t="shared" si="4"/>
        <v>475.84737422762021</v>
      </c>
      <c r="AD17" s="126">
        <f t="shared" si="4"/>
        <v>88.860579849265307</v>
      </c>
      <c r="AE17" s="126">
        <f t="shared" si="4"/>
        <v>308724.53960368701</v>
      </c>
    </row>
    <row r="18" spans="1:32" x14ac:dyDescent="0.25">
      <c r="A18" t="s">
        <v>435</v>
      </c>
      <c r="B18" s="68">
        <f>'Corporate and Skipjack Alloc 21'!N18</f>
        <v>5656.13</v>
      </c>
      <c r="C18" s="68">
        <f t="shared" si="8"/>
        <v>5656.13</v>
      </c>
      <c r="D18" s="68">
        <f t="shared" si="8"/>
        <v>5656.13</v>
      </c>
      <c r="E18" s="68">
        <f t="shared" si="8"/>
        <v>5656.13</v>
      </c>
      <c r="F18" s="68">
        <f t="shared" si="8"/>
        <v>5656.13</v>
      </c>
      <c r="G18" s="68">
        <f t="shared" si="8"/>
        <v>5656.13</v>
      </c>
      <c r="H18" s="68">
        <f t="shared" si="8"/>
        <v>5656.13</v>
      </c>
      <c r="I18" s="68">
        <f t="shared" si="8"/>
        <v>5656.13</v>
      </c>
      <c r="J18" s="68">
        <f t="shared" si="8"/>
        <v>5656.13</v>
      </c>
      <c r="K18" s="68">
        <f t="shared" si="8"/>
        <v>5656.13</v>
      </c>
      <c r="L18" s="68">
        <f t="shared" si="8"/>
        <v>5656.13</v>
      </c>
      <c r="M18" s="68">
        <f t="shared" si="8"/>
        <v>5656.13</v>
      </c>
      <c r="N18" s="68">
        <f t="shared" si="8"/>
        <v>5656.13</v>
      </c>
      <c r="O18" s="68">
        <f t="shared" si="9"/>
        <v>5656.1299999999992</v>
      </c>
      <c r="R18" s="127">
        <f t="shared" si="6"/>
        <v>450.57915984601198</v>
      </c>
      <c r="S18" s="127">
        <f t="shared" si="3"/>
        <v>1074.8431887306836</v>
      </c>
      <c r="T18" s="127">
        <f t="shared" si="3"/>
        <v>450.1743400444613</v>
      </c>
      <c r="U18" s="127">
        <f t="shared" si="3"/>
        <v>5.66257031502467</v>
      </c>
      <c r="V18" s="127">
        <f t="shared" si="3"/>
        <v>1.0574383907173452</v>
      </c>
      <c r="W18" s="127">
        <f t="shared" si="3"/>
        <v>3673.8133026731002</v>
      </c>
      <c r="X18" s="128"/>
      <c r="Y18" s="128"/>
      <c r="Z18" s="127">
        <f t="shared" si="7"/>
        <v>450.57915984601203</v>
      </c>
      <c r="AA18" s="127">
        <f t="shared" si="4"/>
        <v>1074.8431887306838</v>
      </c>
      <c r="AB18" s="127">
        <f t="shared" si="4"/>
        <v>450.17434004446136</v>
      </c>
      <c r="AC18" s="127">
        <f t="shared" si="4"/>
        <v>5.6625703150246709</v>
      </c>
      <c r="AD18" s="127">
        <f t="shared" si="4"/>
        <v>1.0574383907173455</v>
      </c>
      <c r="AE18" s="127">
        <f t="shared" si="4"/>
        <v>3673.8133026731007</v>
      </c>
      <c r="AF18" s="89"/>
    </row>
    <row r="19" spans="1:32" x14ac:dyDescent="0.25">
      <c r="A19" t="s">
        <v>441</v>
      </c>
      <c r="B19" s="68">
        <f>'Corporate and Skipjack Alloc 21'!N19</f>
        <v>469650.04</v>
      </c>
      <c r="C19" s="68">
        <f t="shared" si="8"/>
        <v>469650.04</v>
      </c>
      <c r="D19" s="68">
        <f t="shared" si="8"/>
        <v>469650.04</v>
      </c>
      <c r="E19" s="68">
        <f t="shared" si="8"/>
        <v>469650.04</v>
      </c>
      <c r="F19" s="68">
        <f t="shared" si="8"/>
        <v>469650.04</v>
      </c>
      <c r="G19" s="68">
        <f t="shared" si="8"/>
        <v>469650.04</v>
      </c>
      <c r="H19" s="68">
        <f t="shared" si="8"/>
        <v>469650.04</v>
      </c>
      <c r="I19" s="68">
        <f t="shared" si="8"/>
        <v>469650.04</v>
      </c>
      <c r="J19" s="68">
        <f t="shared" si="8"/>
        <v>469650.04</v>
      </c>
      <c r="K19" s="68">
        <f t="shared" si="8"/>
        <v>469650.04</v>
      </c>
      <c r="L19" s="68">
        <f t="shared" si="8"/>
        <v>469650.04</v>
      </c>
      <c r="M19" s="68">
        <f t="shared" si="8"/>
        <v>469650.04</v>
      </c>
      <c r="N19" s="68">
        <f t="shared" si="8"/>
        <v>469650.04</v>
      </c>
      <c r="O19" s="68">
        <f t="shared" si="9"/>
        <v>469650.04</v>
      </c>
      <c r="R19" s="124">
        <f t="shared" si="6"/>
        <v>37413.305642700208</v>
      </c>
      <c r="S19" s="124">
        <f t="shared" si="6"/>
        <v>89248.328199863361</v>
      </c>
      <c r="T19" s="124">
        <f t="shared" si="6"/>
        <v>37379.691911051348</v>
      </c>
      <c r="U19" s="124">
        <f t="shared" si="6"/>
        <v>470.18480391259556</v>
      </c>
      <c r="V19" s="124">
        <f t="shared" si="6"/>
        <v>87.803141458547955</v>
      </c>
      <c r="W19" s="124">
        <f t="shared" si="6"/>
        <v>305050.7263010139</v>
      </c>
      <c r="X19" s="125"/>
      <c r="Y19" s="125"/>
      <c r="Z19" s="124">
        <f t="shared" si="7"/>
        <v>37413.305642700208</v>
      </c>
      <c r="AA19" s="124">
        <f t="shared" si="7"/>
        <v>89248.328199863361</v>
      </c>
      <c r="AB19" s="124">
        <f t="shared" si="7"/>
        <v>37379.691911051348</v>
      </c>
      <c r="AC19" s="124">
        <f t="shared" si="7"/>
        <v>470.18480391259556</v>
      </c>
      <c r="AD19" s="124">
        <f t="shared" si="7"/>
        <v>87.803141458547955</v>
      </c>
      <c r="AE19" s="124">
        <f t="shared" si="7"/>
        <v>305050.7263010139</v>
      </c>
    </row>
    <row r="20" spans="1:32" ht="15.75" thickBot="1" x14ac:dyDescent="0.3">
      <c r="A20" s="116" t="s">
        <v>443</v>
      </c>
      <c r="B20" s="117">
        <f t="shared" ref="B20:O20" si="11">B17+B6</f>
        <v>15867713.460000001</v>
      </c>
      <c r="C20" s="117">
        <f t="shared" si="11"/>
        <v>16029241.460000001</v>
      </c>
      <c r="D20" s="117">
        <f t="shared" si="11"/>
        <v>16029241.460000001</v>
      </c>
      <c r="E20" s="117">
        <f t="shared" si="11"/>
        <v>16079241.460000001</v>
      </c>
      <c r="F20" s="117">
        <f t="shared" si="11"/>
        <v>16079241.460000001</v>
      </c>
      <c r="G20" s="117">
        <f t="shared" si="11"/>
        <v>16079241.460000001</v>
      </c>
      <c r="H20" s="117">
        <f t="shared" si="11"/>
        <v>16290187.460000001</v>
      </c>
      <c r="I20" s="117">
        <f t="shared" si="11"/>
        <v>16290187.460000001</v>
      </c>
      <c r="J20" s="117">
        <f t="shared" si="11"/>
        <v>16290187.460000001</v>
      </c>
      <c r="K20" s="117">
        <f t="shared" si="11"/>
        <v>16290187.460000001</v>
      </c>
      <c r="L20" s="117">
        <f t="shared" si="11"/>
        <v>16290187.460000001</v>
      </c>
      <c r="M20" s="117">
        <f t="shared" si="11"/>
        <v>16290187.460000001</v>
      </c>
      <c r="N20" s="117">
        <f t="shared" si="11"/>
        <v>18148520.460000001</v>
      </c>
      <c r="O20" s="117">
        <f t="shared" si="11"/>
        <v>16311812.767692307</v>
      </c>
      <c r="R20" s="129">
        <f t="shared" si="6"/>
        <v>1299433.1623269359</v>
      </c>
      <c r="S20" s="129">
        <f t="shared" si="6"/>
        <v>3099759.1726506073</v>
      </c>
      <c r="T20" s="129">
        <f t="shared" si="6"/>
        <v>1298265.6953826561</v>
      </c>
      <c r="U20" s="129">
        <f t="shared" si="6"/>
        <v>16330.386105442214</v>
      </c>
      <c r="V20" s="129">
        <f t="shared" si="6"/>
        <v>3049.5651696038103</v>
      </c>
      <c r="W20" s="129">
        <f t="shared" si="6"/>
        <v>10594974.786057061</v>
      </c>
      <c r="X20" s="125"/>
      <c r="Y20" s="125"/>
      <c r="Z20" s="129">
        <f t="shared" si="7"/>
        <v>1445749.1431977272</v>
      </c>
      <c r="AA20" s="129">
        <f t="shared" si="7"/>
        <v>3448791.5946009825</v>
      </c>
      <c r="AB20" s="129">
        <f t="shared" si="7"/>
        <v>1444450.2196491072</v>
      </c>
      <c r="AC20" s="129">
        <f t="shared" si="7"/>
        <v>18169.185152818958</v>
      </c>
      <c r="AD20" s="129">
        <f t="shared" si="7"/>
        <v>3392.9457542742507</v>
      </c>
      <c r="AE20" s="129">
        <f t="shared" si="7"/>
        <v>11787967.371645089</v>
      </c>
    </row>
    <row r="21" spans="1:32" ht="15.75" thickTop="1" x14ac:dyDescent="0.25"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</row>
    <row r="22" spans="1:32" ht="15.75" x14ac:dyDescent="0.25">
      <c r="A22" s="112" t="s">
        <v>74</v>
      </c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</row>
    <row r="23" spans="1:32" x14ac:dyDescent="0.25">
      <c r="A23" s="116" t="s">
        <v>454</v>
      </c>
      <c r="B23" s="117">
        <f>SUM(B24:B33)</f>
        <v>5841590.54</v>
      </c>
      <c r="C23" s="117">
        <f t="shared" ref="C23:O23" si="12">SUM(C24:C33)</f>
        <v>6041973.6862666663</v>
      </c>
      <c r="D23" s="117">
        <f t="shared" ref="D23:N23" si="13">SUM(D24:D33)</f>
        <v>6242356.8325333335</v>
      </c>
      <c r="E23" s="117">
        <f t="shared" si="13"/>
        <v>6442879.1454666657</v>
      </c>
      <c r="F23" s="117">
        <f t="shared" si="13"/>
        <v>6643401.4584000008</v>
      </c>
      <c r="G23" s="117">
        <f t="shared" si="13"/>
        <v>6843923.7713333331</v>
      </c>
      <c r="H23" s="117">
        <f t="shared" si="13"/>
        <v>7045033.2173000015</v>
      </c>
      <c r="I23" s="117">
        <f t="shared" si="13"/>
        <v>7246142.6632666662</v>
      </c>
      <c r="J23" s="117">
        <f t="shared" si="13"/>
        <v>7447252.1092333347</v>
      </c>
      <c r="K23" s="117">
        <f t="shared" si="13"/>
        <v>7648361.5551999994</v>
      </c>
      <c r="L23" s="117">
        <f t="shared" si="13"/>
        <v>7849471.001166665</v>
      </c>
      <c r="M23" s="117">
        <f t="shared" si="13"/>
        <v>8050580.4471333325</v>
      </c>
      <c r="N23" s="117">
        <f t="shared" si="13"/>
        <v>8256862.253283333</v>
      </c>
      <c r="O23" s="117">
        <f t="shared" si="12"/>
        <v>7046140.6677371804</v>
      </c>
      <c r="R23" s="122">
        <f t="shared" ref="R23:W37" si="14">$O23*R$3</f>
        <v>561310.32034727582</v>
      </c>
      <c r="S23" s="122">
        <f t="shared" si="14"/>
        <v>1338989.0797339487</v>
      </c>
      <c r="T23" s="122">
        <f t="shared" si="14"/>
        <v>560806.0148827954</v>
      </c>
      <c r="U23" s="122">
        <f t="shared" si="14"/>
        <v>7054.1637092175515</v>
      </c>
      <c r="V23" s="122">
        <f t="shared" si="14"/>
        <v>1317.3070011580437</v>
      </c>
      <c r="W23" s="122">
        <f t="shared" si="14"/>
        <v>4576663.7820627848</v>
      </c>
      <c r="X23" s="125"/>
      <c r="Y23" s="125"/>
      <c r="Z23" s="122">
        <f t="shared" ref="Z23:AE37" si="15">$N23*Z$3</f>
        <v>657758.93712638388</v>
      </c>
      <c r="AA23" s="122">
        <f t="shared" si="15"/>
        <v>1569064.3873512589</v>
      </c>
      <c r="AB23" s="122">
        <f t="shared" si="15"/>
        <v>657167.97805387224</v>
      </c>
      <c r="AC23" s="122">
        <f t="shared" si="15"/>
        <v>8266.2638748914742</v>
      </c>
      <c r="AD23" s="122">
        <f t="shared" si="15"/>
        <v>1543.6567288033907</v>
      </c>
      <c r="AE23" s="122">
        <f t="shared" si="15"/>
        <v>5363061.0301481225</v>
      </c>
    </row>
    <row r="24" spans="1:32" x14ac:dyDescent="0.25">
      <c r="A24" t="s">
        <v>455</v>
      </c>
      <c r="B24" s="68">
        <f>'Corporate and Skipjack Alloc 21'!N24</f>
        <v>5966.29</v>
      </c>
      <c r="C24" s="68">
        <f>B24+C41</f>
        <v>5966.29</v>
      </c>
      <c r="D24" s="68">
        <f t="shared" ref="D24:N24" si="16">C24+D41</f>
        <v>5966.29</v>
      </c>
      <c r="E24" s="68">
        <f t="shared" si="16"/>
        <v>5966.29</v>
      </c>
      <c r="F24" s="68">
        <f t="shared" si="16"/>
        <v>5966.29</v>
      </c>
      <c r="G24" s="68">
        <f t="shared" si="16"/>
        <v>5966.29</v>
      </c>
      <c r="H24" s="68">
        <f t="shared" si="16"/>
        <v>5966.29</v>
      </c>
      <c r="I24" s="68">
        <f t="shared" si="16"/>
        <v>5966.29</v>
      </c>
      <c r="J24" s="68">
        <f t="shared" si="16"/>
        <v>5966.29</v>
      </c>
      <c r="K24" s="68">
        <f t="shared" si="16"/>
        <v>5966.29</v>
      </c>
      <c r="L24" s="68">
        <f t="shared" si="16"/>
        <v>5966.29</v>
      </c>
      <c r="M24" s="68">
        <f t="shared" si="16"/>
        <v>5966.29</v>
      </c>
      <c r="N24" s="68">
        <f t="shared" si="16"/>
        <v>5966.29</v>
      </c>
      <c r="O24" s="68">
        <f>SUM(B24:N24)/13</f>
        <v>5966.2899999999991</v>
      </c>
      <c r="R24" s="124">
        <f t="shared" si="14"/>
        <v>475.28715492707249</v>
      </c>
      <c r="S24" s="124">
        <f t="shared" si="14"/>
        <v>1133.7833763530878</v>
      </c>
      <c r="T24" s="124">
        <f t="shared" si="14"/>
        <v>474.86013639429592</v>
      </c>
      <c r="U24" s="124">
        <f t="shared" si="14"/>
        <v>5.9730834766578091</v>
      </c>
      <c r="V24" s="124">
        <f t="shared" si="14"/>
        <v>1.1154241674347989</v>
      </c>
      <c r="W24" s="124">
        <f t="shared" si="14"/>
        <v>3875.27082468145</v>
      </c>
      <c r="X24" s="125"/>
      <c r="Y24" s="125"/>
      <c r="Z24" s="124">
        <f t="shared" si="15"/>
        <v>475.28715492707261</v>
      </c>
      <c r="AA24" s="124">
        <f t="shared" si="15"/>
        <v>1133.7833763530878</v>
      </c>
      <c r="AB24" s="124">
        <f t="shared" si="15"/>
        <v>474.86013639429598</v>
      </c>
      <c r="AC24" s="124">
        <f t="shared" si="15"/>
        <v>5.97308347665781</v>
      </c>
      <c r="AD24" s="124">
        <f t="shared" si="15"/>
        <v>1.1154241674347991</v>
      </c>
      <c r="AE24" s="124">
        <f t="shared" si="15"/>
        <v>3875.2708246814504</v>
      </c>
    </row>
    <row r="25" spans="1:32" x14ac:dyDescent="0.25">
      <c r="A25" t="s">
        <v>434</v>
      </c>
      <c r="B25" s="68">
        <f>'Corporate and Skipjack Alloc 21'!N25</f>
        <v>1198659.6400000004</v>
      </c>
      <c r="C25" s="68">
        <f t="shared" ref="C25:N36" si="17">B25+C42</f>
        <v>1220275.5100000005</v>
      </c>
      <c r="D25" s="68">
        <f t="shared" si="17"/>
        <v>1241891.3800000006</v>
      </c>
      <c r="E25" s="68">
        <f t="shared" si="17"/>
        <v>1263507.2500000007</v>
      </c>
      <c r="F25" s="68">
        <f t="shared" si="17"/>
        <v>1285123.1200000008</v>
      </c>
      <c r="G25" s="68">
        <f t="shared" si="17"/>
        <v>1306738.9900000009</v>
      </c>
      <c r="H25" s="68">
        <f t="shared" si="17"/>
        <v>1328354.860000001</v>
      </c>
      <c r="I25" s="68">
        <f t="shared" si="17"/>
        <v>1349970.7300000011</v>
      </c>
      <c r="J25" s="68">
        <f t="shared" si="17"/>
        <v>1371586.6000000013</v>
      </c>
      <c r="K25" s="68">
        <f t="shared" si="17"/>
        <v>1393202.4700000014</v>
      </c>
      <c r="L25" s="68">
        <f t="shared" si="17"/>
        <v>1414818.3400000015</v>
      </c>
      <c r="M25" s="68">
        <f t="shared" si="17"/>
        <v>1436434.2100000016</v>
      </c>
      <c r="N25" s="68">
        <f t="shared" si="17"/>
        <v>1458050.0800000017</v>
      </c>
      <c r="O25" s="68">
        <f t="shared" ref="O25:O36" si="18">SUM(B25:N25)/13</f>
        <v>1328354.8600000008</v>
      </c>
      <c r="R25" s="124">
        <f t="shared" si="14"/>
        <v>105819.52974846181</v>
      </c>
      <c r="S25" s="124">
        <f t="shared" si="14"/>
        <v>252429.34188010209</v>
      </c>
      <c r="T25" s="124">
        <f t="shared" si="14"/>
        <v>105724.45690699351</v>
      </c>
      <c r="U25" s="124">
        <f t="shared" si="14"/>
        <v>1329.8673824779057</v>
      </c>
      <c r="V25" s="124">
        <f t="shared" si="14"/>
        <v>248.34178589600407</v>
      </c>
      <c r="W25" s="124">
        <f t="shared" si="14"/>
        <v>862803.32229606947</v>
      </c>
      <c r="X25" s="125"/>
      <c r="Y25" s="125"/>
      <c r="Z25" s="124">
        <f t="shared" si="15"/>
        <v>116151.3225579701</v>
      </c>
      <c r="AA25" s="124">
        <f t="shared" si="15"/>
        <v>277075.5264317175</v>
      </c>
      <c r="AB25" s="124">
        <f t="shared" si="15"/>
        <v>116046.96718706515</v>
      </c>
      <c r="AC25" s="124">
        <f t="shared" si="15"/>
        <v>1459.7102790825804</v>
      </c>
      <c r="AD25" s="124">
        <f t="shared" si="15"/>
        <v>272.58887793959798</v>
      </c>
      <c r="AE25" s="124">
        <f t="shared" si="15"/>
        <v>947043.96466622676</v>
      </c>
    </row>
    <row r="26" spans="1:32" x14ac:dyDescent="0.25">
      <c r="A26" t="s">
        <v>456</v>
      </c>
      <c r="B26" s="68">
        <f>'Corporate and Skipjack Alloc 21'!N26</f>
        <v>151766.35</v>
      </c>
      <c r="C26" s="68">
        <f t="shared" si="17"/>
        <v>155315.37</v>
      </c>
      <c r="D26" s="68">
        <f t="shared" si="17"/>
        <v>158864.38999999998</v>
      </c>
      <c r="E26" s="68">
        <f t="shared" si="17"/>
        <v>162413.40999999997</v>
      </c>
      <c r="F26" s="68">
        <f t="shared" si="17"/>
        <v>165962.42999999996</v>
      </c>
      <c r="G26" s="68">
        <f t="shared" si="17"/>
        <v>169511.44999999995</v>
      </c>
      <c r="H26" s="68">
        <f t="shared" si="17"/>
        <v>173060.46999999994</v>
      </c>
      <c r="I26" s="68">
        <f t="shared" si="17"/>
        <v>176609.48999999993</v>
      </c>
      <c r="J26" s="68">
        <f t="shared" si="17"/>
        <v>180158.50999999992</v>
      </c>
      <c r="K26" s="68">
        <f t="shared" si="17"/>
        <v>183707.52999999991</v>
      </c>
      <c r="L26" s="68">
        <f t="shared" si="17"/>
        <v>187256.5499999999</v>
      </c>
      <c r="M26" s="68">
        <f t="shared" si="17"/>
        <v>190805.56999999989</v>
      </c>
      <c r="N26" s="68">
        <f t="shared" si="17"/>
        <v>194354.58999999988</v>
      </c>
      <c r="O26" s="68">
        <f t="shared" si="18"/>
        <v>173060.46999999994</v>
      </c>
      <c r="R26" s="124">
        <f t="shared" si="14"/>
        <v>13786.359432183479</v>
      </c>
      <c r="S26" s="124">
        <f t="shared" si="14"/>
        <v>32886.950515287092</v>
      </c>
      <c r="T26" s="124">
        <f t="shared" si="14"/>
        <v>13773.973170707583</v>
      </c>
      <c r="U26" s="124">
        <f t="shared" si="14"/>
        <v>173.2575241598438</v>
      </c>
      <c r="V26" s="124">
        <f t="shared" si="14"/>
        <v>32.354416340074813</v>
      </c>
      <c r="W26" s="124">
        <f t="shared" si="14"/>
        <v>112407.57494132187</v>
      </c>
      <c r="X26" s="125"/>
      <c r="Y26" s="125"/>
      <c r="Z26" s="124">
        <f t="shared" si="15"/>
        <v>15482.693621684099</v>
      </c>
      <c r="AA26" s="124">
        <f t="shared" si="15"/>
        <v>36933.505287191867</v>
      </c>
      <c r="AB26" s="124">
        <f t="shared" si="15"/>
        <v>15468.78330021796</v>
      </c>
      <c r="AC26" s="124">
        <f t="shared" si="15"/>
        <v>194.57589056877936</v>
      </c>
      <c r="AD26" s="124">
        <f t="shared" si="15"/>
        <v>36.33544576912648</v>
      </c>
      <c r="AE26" s="124">
        <f t="shared" si="15"/>
        <v>126238.69645456804</v>
      </c>
    </row>
    <row r="27" spans="1:32" x14ac:dyDescent="0.25">
      <c r="A27" t="s">
        <v>435</v>
      </c>
      <c r="B27" s="68">
        <f>'Corporate and Skipjack Alloc 21'!N27</f>
        <v>429957.38000000006</v>
      </c>
      <c r="C27" s="68">
        <f t="shared" si="17"/>
        <v>440444.86000000004</v>
      </c>
      <c r="D27" s="68">
        <f t="shared" si="17"/>
        <v>450932.34</v>
      </c>
      <c r="E27" s="68">
        <f t="shared" si="17"/>
        <v>461419.82</v>
      </c>
      <c r="F27" s="68">
        <f t="shared" si="17"/>
        <v>471907.3</v>
      </c>
      <c r="G27" s="68">
        <f t="shared" si="17"/>
        <v>482394.77999999997</v>
      </c>
      <c r="H27" s="68">
        <f t="shared" si="17"/>
        <v>492882.25999999995</v>
      </c>
      <c r="I27" s="68">
        <f t="shared" si="17"/>
        <v>503369.73999999993</v>
      </c>
      <c r="J27" s="68">
        <f t="shared" si="17"/>
        <v>513857.21999999991</v>
      </c>
      <c r="K27" s="68">
        <f t="shared" si="17"/>
        <v>524344.69999999995</v>
      </c>
      <c r="L27" s="68">
        <f t="shared" si="17"/>
        <v>534832.17999999993</v>
      </c>
      <c r="M27" s="68">
        <f t="shared" si="17"/>
        <v>545319.65999999992</v>
      </c>
      <c r="N27" s="68">
        <f t="shared" si="17"/>
        <v>555807.1399999999</v>
      </c>
      <c r="O27" s="68">
        <f t="shared" si="18"/>
        <v>492882.25999999989</v>
      </c>
      <c r="R27" s="124">
        <f t="shared" si="14"/>
        <v>39264.032936619849</v>
      </c>
      <c r="S27" s="124">
        <f t="shared" si="14"/>
        <v>93663.183131785481</v>
      </c>
      <c r="T27" s="124">
        <f t="shared" si="14"/>
        <v>39228.756431539332</v>
      </c>
      <c r="U27" s="124">
        <f t="shared" si="14"/>
        <v>493.44347712628087</v>
      </c>
      <c r="V27" s="124">
        <f t="shared" si="14"/>
        <v>92.146507210323676</v>
      </c>
      <c r="W27" s="124">
        <f t="shared" si="14"/>
        <v>320140.69751571858</v>
      </c>
      <c r="X27" s="125"/>
      <c r="Y27" s="125"/>
      <c r="Z27" s="124">
        <f t="shared" si="15"/>
        <v>44276.760643340014</v>
      </c>
      <c r="AA27" s="124">
        <f t="shared" si="15"/>
        <v>105620.89603260205</v>
      </c>
      <c r="AB27" s="124">
        <f t="shared" si="15"/>
        <v>44236.980486922948</v>
      </c>
      <c r="AC27" s="124">
        <f t="shared" si="15"/>
        <v>556.44000612481693</v>
      </c>
      <c r="AD27" s="124">
        <f t="shared" si="15"/>
        <v>103.91059039852517</v>
      </c>
      <c r="AE27" s="124">
        <f t="shared" si="15"/>
        <v>361012.1522406115</v>
      </c>
    </row>
    <row r="28" spans="1:32" x14ac:dyDescent="0.25">
      <c r="A28" t="s">
        <v>457</v>
      </c>
      <c r="B28" s="68">
        <f>'Corporate and Skipjack Alloc 21'!N28</f>
        <v>1884816.2699999996</v>
      </c>
      <c r="C28" s="68">
        <f t="shared" si="17"/>
        <v>1950429.9962666661</v>
      </c>
      <c r="D28" s="68">
        <f t="shared" si="17"/>
        <v>2016043.7225333326</v>
      </c>
      <c r="E28" s="68">
        <f t="shared" si="17"/>
        <v>2081796.6154666659</v>
      </c>
      <c r="F28" s="68">
        <f t="shared" si="17"/>
        <v>2147549.5083999992</v>
      </c>
      <c r="G28" s="68">
        <f t="shared" si="17"/>
        <v>2213302.4013333325</v>
      </c>
      <c r="H28" s="68">
        <f t="shared" si="17"/>
        <v>2279642.4272999992</v>
      </c>
      <c r="I28" s="68">
        <f t="shared" si="17"/>
        <v>2345982.4532666658</v>
      </c>
      <c r="J28" s="68">
        <f t="shared" si="17"/>
        <v>2412322.4792333324</v>
      </c>
      <c r="K28" s="68">
        <f t="shared" si="17"/>
        <v>2478662.5051999991</v>
      </c>
      <c r="L28" s="68">
        <f t="shared" si="17"/>
        <v>2545002.5311666657</v>
      </c>
      <c r="M28" s="68">
        <f t="shared" si="17"/>
        <v>2611342.5571333324</v>
      </c>
      <c r="N28" s="68">
        <f t="shared" si="17"/>
        <v>2682854.9432833325</v>
      </c>
      <c r="O28" s="68">
        <f t="shared" si="18"/>
        <v>2280749.8777371785</v>
      </c>
      <c r="R28" s="124">
        <f t="shared" si="14"/>
        <v>181689.31119505962</v>
      </c>
      <c r="S28" s="124">
        <f t="shared" si="14"/>
        <v>433414.44968275941</v>
      </c>
      <c r="T28" s="124">
        <f t="shared" si="14"/>
        <v>181526.07366111109</v>
      </c>
      <c r="U28" s="124">
        <f t="shared" si="14"/>
        <v>2283.3468385045417</v>
      </c>
      <c r="V28" s="124">
        <f t="shared" si="14"/>
        <v>426.3962250413594</v>
      </c>
      <c r="W28" s="124">
        <f t="shared" si="14"/>
        <v>1481410.3001347024</v>
      </c>
      <c r="X28" s="125"/>
      <c r="Y28" s="125"/>
      <c r="Z28" s="124">
        <f t="shared" si="15"/>
        <v>213721.8427322788</v>
      </c>
      <c r="AA28" s="124">
        <f t="shared" si="15"/>
        <v>509827.10124069545</v>
      </c>
      <c r="AB28" s="124">
        <f t="shared" si="15"/>
        <v>213529.82578681802</v>
      </c>
      <c r="AC28" s="124">
        <f t="shared" si="15"/>
        <v>2685.9097583247549</v>
      </c>
      <c r="AD28" s="124">
        <f t="shared" si="15"/>
        <v>501.57153632494339</v>
      </c>
      <c r="AE28" s="124">
        <f t="shared" si="15"/>
        <v>1742588.6922288905</v>
      </c>
    </row>
    <row r="29" spans="1:32" x14ac:dyDescent="0.25">
      <c r="A29" t="s">
        <v>436</v>
      </c>
      <c r="B29" s="68">
        <f>'Corporate and Skipjack Alloc 21'!N29</f>
        <v>231490.42000000004</v>
      </c>
      <c r="C29" s="68">
        <f t="shared" si="17"/>
        <v>244488.23000000004</v>
      </c>
      <c r="D29" s="68">
        <f t="shared" si="17"/>
        <v>257486.04000000004</v>
      </c>
      <c r="E29" s="68">
        <f t="shared" si="17"/>
        <v>270483.85000000003</v>
      </c>
      <c r="F29" s="68">
        <f t="shared" si="17"/>
        <v>283481.66000000003</v>
      </c>
      <c r="G29" s="68">
        <f t="shared" si="17"/>
        <v>296479.47000000003</v>
      </c>
      <c r="H29" s="68">
        <f t="shared" si="17"/>
        <v>309477.28000000003</v>
      </c>
      <c r="I29" s="68">
        <f t="shared" si="17"/>
        <v>322475.09000000003</v>
      </c>
      <c r="J29" s="68">
        <f t="shared" si="17"/>
        <v>335472.90000000002</v>
      </c>
      <c r="K29" s="68">
        <f t="shared" si="17"/>
        <v>348470.71</v>
      </c>
      <c r="L29" s="68">
        <f t="shared" si="17"/>
        <v>361468.52</v>
      </c>
      <c r="M29" s="68">
        <f t="shared" si="17"/>
        <v>374466.33</v>
      </c>
      <c r="N29" s="68">
        <f t="shared" si="17"/>
        <v>387464.14</v>
      </c>
      <c r="O29" s="68">
        <f t="shared" si="18"/>
        <v>309477.28000000003</v>
      </c>
      <c r="R29" s="124">
        <f t="shared" si="14"/>
        <v>24653.608176231635</v>
      </c>
      <c r="S29" s="124">
        <f t="shared" si="14"/>
        <v>58810.449278022017</v>
      </c>
      <c r="T29" s="124">
        <f t="shared" si="14"/>
        <v>24631.458308552843</v>
      </c>
      <c r="U29" s="124">
        <f t="shared" si="14"/>
        <v>309.82966425852629</v>
      </c>
      <c r="V29" s="124">
        <f t="shared" si="14"/>
        <v>57.858139209456169</v>
      </c>
      <c r="W29" s="124">
        <f t="shared" si="14"/>
        <v>201014.07643372554</v>
      </c>
      <c r="X29" s="125"/>
      <c r="Y29" s="125"/>
      <c r="Z29" s="124">
        <f t="shared" si="15"/>
        <v>30866.204749830289</v>
      </c>
      <c r="AA29" s="124">
        <f t="shared" si="15"/>
        <v>73630.413685044739</v>
      </c>
      <c r="AB29" s="124">
        <f t="shared" si="15"/>
        <v>30838.473216739145</v>
      </c>
      <c r="AC29" s="124">
        <f t="shared" si="15"/>
        <v>387.90532348099549</v>
      </c>
      <c r="AD29" s="124">
        <f t="shared" si="15"/>
        <v>72.43812583202299</v>
      </c>
      <c r="AE29" s="124">
        <f t="shared" si="15"/>
        <v>251668.70489907282</v>
      </c>
    </row>
    <row r="30" spans="1:32" x14ac:dyDescent="0.25">
      <c r="A30" t="s">
        <v>437</v>
      </c>
      <c r="B30" s="68">
        <f>'Corporate and Skipjack Alloc 21'!N30</f>
        <v>81301.820000000007</v>
      </c>
      <c r="C30" s="68">
        <f t="shared" si="17"/>
        <v>82897.8</v>
      </c>
      <c r="D30" s="68">
        <f t="shared" si="17"/>
        <v>84493.78</v>
      </c>
      <c r="E30" s="68">
        <f t="shared" si="17"/>
        <v>86089.76</v>
      </c>
      <c r="F30" s="68">
        <f t="shared" si="17"/>
        <v>87685.739999999991</v>
      </c>
      <c r="G30" s="68">
        <f t="shared" si="17"/>
        <v>89281.719999999987</v>
      </c>
      <c r="H30" s="68">
        <f t="shared" si="17"/>
        <v>90877.699999999983</v>
      </c>
      <c r="I30" s="68">
        <f t="shared" si="17"/>
        <v>92473.679999999978</v>
      </c>
      <c r="J30" s="68">
        <f t="shared" si="17"/>
        <v>94069.659999999974</v>
      </c>
      <c r="K30" s="68">
        <f t="shared" si="17"/>
        <v>95665.63999999997</v>
      </c>
      <c r="L30" s="68">
        <f t="shared" si="17"/>
        <v>97261.619999999966</v>
      </c>
      <c r="M30" s="68">
        <f t="shared" si="17"/>
        <v>98857.599999999962</v>
      </c>
      <c r="N30" s="68">
        <f t="shared" si="17"/>
        <v>100453.57999999996</v>
      </c>
      <c r="O30" s="68">
        <f t="shared" si="18"/>
        <v>90877.699999999968</v>
      </c>
      <c r="R30" s="124">
        <f t="shared" si="14"/>
        <v>7239.5078816678388</v>
      </c>
      <c r="S30" s="124">
        <f t="shared" si="14"/>
        <v>17269.630799240898</v>
      </c>
      <c r="T30" s="124">
        <f t="shared" si="14"/>
        <v>7233.0035947297056</v>
      </c>
      <c r="U30" s="124">
        <f t="shared" si="14"/>
        <v>90.981177292197543</v>
      </c>
      <c r="V30" s="124">
        <f t="shared" si="14"/>
        <v>16.989985880821987</v>
      </c>
      <c r="W30" s="124">
        <f t="shared" si="14"/>
        <v>59027.586561188502</v>
      </c>
      <c r="X30" s="125"/>
      <c r="Y30" s="125"/>
      <c r="Z30" s="124">
        <f t="shared" si="15"/>
        <v>8002.3425345464366</v>
      </c>
      <c r="AA30" s="124">
        <f t="shared" si="15"/>
        <v>19089.350182300052</v>
      </c>
      <c r="AB30" s="124">
        <f t="shared" si="15"/>
        <v>7995.1528839689827</v>
      </c>
      <c r="AC30" s="124">
        <f t="shared" si="15"/>
        <v>100.56796080464129</v>
      </c>
      <c r="AD30" s="124">
        <f t="shared" si="15"/>
        <v>18.780238781109357</v>
      </c>
      <c r="AE30" s="124">
        <f t="shared" si="15"/>
        <v>65247.386199598732</v>
      </c>
    </row>
    <row r="31" spans="1:32" x14ac:dyDescent="0.25">
      <c r="A31" t="s">
        <v>438</v>
      </c>
      <c r="B31" s="68">
        <f>'Corporate and Skipjack Alloc 21'!N31</f>
        <v>989717.41</v>
      </c>
      <c r="C31" s="68">
        <f t="shared" si="17"/>
        <v>1054616.07</v>
      </c>
      <c r="D31" s="68">
        <f t="shared" si="17"/>
        <v>1119514.73</v>
      </c>
      <c r="E31" s="68">
        <f t="shared" si="17"/>
        <v>1184413.3899999999</v>
      </c>
      <c r="F31" s="68">
        <f t="shared" si="17"/>
        <v>1249312.0499999998</v>
      </c>
      <c r="G31" s="68">
        <f t="shared" si="17"/>
        <v>1314210.7099999997</v>
      </c>
      <c r="H31" s="68">
        <f t="shared" si="17"/>
        <v>1379109.3699999996</v>
      </c>
      <c r="I31" s="68">
        <f t="shared" si="17"/>
        <v>1444008.0299999996</v>
      </c>
      <c r="J31" s="68">
        <f t="shared" si="17"/>
        <v>1508906.6899999995</v>
      </c>
      <c r="K31" s="68">
        <f t="shared" si="17"/>
        <v>1573805.3499999994</v>
      </c>
      <c r="L31" s="68">
        <f t="shared" si="17"/>
        <v>1638704.0099999993</v>
      </c>
      <c r="M31" s="68">
        <f t="shared" si="17"/>
        <v>1703602.6699999992</v>
      </c>
      <c r="N31" s="68">
        <f t="shared" si="17"/>
        <v>1768501.3299999991</v>
      </c>
      <c r="O31" s="68">
        <f t="shared" si="18"/>
        <v>1379109.3699999996</v>
      </c>
      <c r="R31" s="124">
        <f t="shared" si="14"/>
        <v>109862.74029599086</v>
      </c>
      <c r="S31" s="124">
        <f t="shared" si="14"/>
        <v>262074.30042434737</v>
      </c>
      <c r="T31" s="124">
        <f t="shared" si="14"/>
        <v>109764.03485932655</v>
      </c>
      <c r="U31" s="124">
        <f t="shared" si="14"/>
        <v>1380.6796837651139</v>
      </c>
      <c r="V31" s="124">
        <f t="shared" si="14"/>
        <v>257.83056486254941</v>
      </c>
      <c r="W31" s="124">
        <f t="shared" si="14"/>
        <v>895769.78417170711</v>
      </c>
      <c r="X31" s="125"/>
      <c r="Y31" s="125"/>
      <c r="Z31" s="124">
        <f t="shared" si="15"/>
        <v>140882.51922391361</v>
      </c>
      <c r="AA31" s="124">
        <f t="shared" si="15"/>
        <v>336071.0607450066</v>
      </c>
      <c r="AB31" s="124">
        <f t="shared" si="15"/>
        <v>140755.94427647558</v>
      </c>
      <c r="AC31" s="124">
        <f t="shared" si="15"/>
        <v>1770.5150223456044</v>
      </c>
      <c r="AD31" s="124">
        <f t="shared" si="15"/>
        <v>330.62910512606396</v>
      </c>
      <c r="AE31" s="124">
        <f t="shared" si="15"/>
        <v>1148690.6616271315</v>
      </c>
    </row>
    <row r="32" spans="1:32" x14ac:dyDescent="0.25">
      <c r="A32" t="s">
        <v>458</v>
      </c>
      <c r="B32" s="68">
        <f>'Corporate and Skipjack Alloc 21'!N32</f>
        <v>656241.77999999991</v>
      </c>
      <c r="C32" s="68">
        <f t="shared" si="17"/>
        <v>671309.54999999993</v>
      </c>
      <c r="D32" s="68">
        <f t="shared" si="17"/>
        <v>686377.32</v>
      </c>
      <c r="E32" s="68">
        <f t="shared" si="17"/>
        <v>701445.09</v>
      </c>
      <c r="F32" s="68">
        <f t="shared" si="17"/>
        <v>716512.86</v>
      </c>
      <c r="G32" s="68">
        <f t="shared" si="17"/>
        <v>731580.63</v>
      </c>
      <c r="H32" s="68">
        <f t="shared" si="17"/>
        <v>746648.4</v>
      </c>
      <c r="I32" s="68">
        <f t="shared" si="17"/>
        <v>761716.17</v>
      </c>
      <c r="J32" s="68">
        <f t="shared" si="17"/>
        <v>776783.94000000006</v>
      </c>
      <c r="K32" s="68">
        <f t="shared" si="17"/>
        <v>791851.71000000008</v>
      </c>
      <c r="L32" s="68">
        <f t="shared" si="17"/>
        <v>806919.4800000001</v>
      </c>
      <c r="M32" s="68">
        <f t="shared" si="17"/>
        <v>821987.25000000012</v>
      </c>
      <c r="N32" s="68">
        <f t="shared" si="17"/>
        <v>837055.02000000014</v>
      </c>
      <c r="O32" s="68">
        <f t="shared" si="18"/>
        <v>746648.40000000014</v>
      </c>
      <c r="R32" s="124">
        <f t="shared" si="14"/>
        <v>59479.575040242918</v>
      </c>
      <c r="S32" s="124">
        <f t="shared" si="14"/>
        <v>141886.75775073472</v>
      </c>
      <c r="T32" s="124">
        <f t="shared" si="14"/>
        <v>59426.136017958044</v>
      </c>
      <c r="U32" s="124">
        <f t="shared" si="14"/>
        <v>747.49856626362316</v>
      </c>
      <c r="V32" s="124">
        <f t="shared" si="14"/>
        <v>139.58920366534733</v>
      </c>
      <c r="W32" s="124">
        <f t="shared" si="14"/>
        <v>484968.84342113545</v>
      </c>
      <c r="X32" s="125"/>
      <c r="Y32" s="125"/>
      <c r="Z32" s="124">
        <f t="shared" si="15"/>
        <v>66681.555702660102</v>
      </c>
      <c r="AA32" s="124">
        <f t="shared" si="15"/>
        <v>159066.86848425097</v>
      </c>
      <c r="AB32" s="124">
        <f t="shared" si="15"/>
        <v>66621.646109513647</v>
      </c>
      <c r="AC32" s="124">
        <f t="shared" si="15"/>
        <v>838.00812716369364</v>
      </c>
      <c r="AD32" s="124">
        <f t="shared" si="15"/>
        <v>156.49111906739688</v>
      </c>
      <c r="AE32" s="124">
        <f t="shared" si="15"/>
        <v>543690.4504573443</v>
      </c>
    </row>
    <row r="33" spans="1:31" x14ac:dyDescent="0.25">
      <c r="A33" t="s">
        <v>441</v>
      </c>
      <c r="B33" s="68">
        <f>'Corporate and Skipjack Alloc 21'!N33</f>
        <v>211673.18000000002</v>
      </c>
      <c r="C33" s="68">
        <f t="shared" si="17"/>
        <v>216230.01</v>
      </c>
      <c r="D33" s="68">
        <f t="shared" si="17"/>
        <v>220786.84</v>
      </c>
      <c r="E33" s="68">
        <f t="shared" si="17"/>
        <v>225343.66999999998</v>
      </c>
      <c r="F33" s="68">
        <f t="shared" si="17"/>
        <v>229900.49999999997</v>
      </c>
      <c r="G33" s="68">
        <f t="shared" si="17"/>
        <v>234457.32999999996</v>
      </c>
      <c r="H33" s="68">
        <f t="shared" si="17"/>
        <v>239014.15999999995</v>
      </c>
      <c r="I33" s="68">
        <f t="shared" si="17"/>
        <v>243570.98999999993</v>
      </c>
      <c r="J33" s="68">
        <f t="shared" si="17"/>
        <v>248127.81999999992</v>
      </c>
      <c r="K33" s="68">
        <f t="shared" si="17"/>
        <v>252684.64999999991</v>
      </c>
      <c r="L33" s="68">
        <f t="shared" si="17"/>
        <v>257241.47999999989</v>
      </c>
      <c r="M33" s="68">
        <f t="shared" si="17"/>
        <v>261798.30999999988</v>
      </c>
      <c r="N33" s="68">
        <f t="shared" si="17"/>
        <v>266355.1399999999</v>
      </c>
      <c r="O33" s="68">
        <f t="shared" si="18"/>
        <v>239014.15999999995</v>
      </c>
      <c r="R33" s="124">
        <f t="shared" si="14"/>
        <v>19040.368485890576</v>
      </c>
      <c r="S33" s="124">
        <f t="shared" si="14"/>
        <v>45420.232895316367</v>
      </c>
      <c r="T33" s="124">
        <f t="shared" si="14"/>
        <v>19023.261795482293</v>
      </c>
      <c r="U33" s="124">
        <f t="shared" si="14"/>
        <v>239.28631189285903</v>
      </c>
      <c r="V33" s="124">
        <f t="shared" si="14"/>
        <v>44.684748884671684</v>
      </c>
      <c r="W33" s="124">
        <f t="shared" si="14"/>
        <v>155246.32576253318</v>
      </c>
      <c r="X33" s="125"/>
      <c r="Y33" s="125"/>
      <c r="Z33" s="124">
        <f t="shared" si="15"/>
        <v>21218.408205233412</v>
      </c>
      <c r="AA33" s="124">
        <f t="shared" si="15"/>
        <v>50615.881886096598</v>
      </c>
      <c r="AB33" s="124">
        <f t="shared" si="15"/>
        <v>21199.344669756541</v>
      </c>
      <c r="AC33" s="124">
        <f t="shared" si="15"/>
        <v>266.6584235189502</v>
      </c>
      <c r="AD33" s="124">
        <f t="shared" si="15"/>
        <v>49.796265397169641</v>
      </c>
      <c r="AE33" s="124">
        <f t="shared" si="15"/>
        <v>173005.05054999722</v>
      </c>
    </row>
    <row r="34" spans="1:31" x14ac:dyDescent="0.25">
      <c r="A34" s="116" t="s">
        <v>459</v>
      </c>
      <c r="B34" s="117">
        <f t="shared" ref="B34:O34" si="19">SUM(B35:B36)</f>
        <v>272181.23</v>
      </c>
      <c r="C34" s="117">
        <f t="shared" si="19"/>
        <v>277914</v>
      </c>
      <c r="D34" s="117">
        <f t="shared" ref="D34:N34" si="20">SUM(D35:D36)</f>
        <v>283646.76999999996</v>
      </c>
      <c r="E34" s="117">
        <f t="shared" si="20"/>
        <v>289379.53999999992</v>
      </c>
      <c r="F34" s="117">
        <f t="shared" si="20"/>
        <v>295112.30999999994</v>
      </c>
      <c r="G34" s="117">
        <f t="shared" si="20"/>
        <v>300845.0799999999</v>
      </c>
      <c r="H34" s="117">
        <f t="shared" si="20"/>
        <v>306577.84999999992</v>
      </c>
      <c r="I34" s="117">
        <f t="shared" si="20"/>
        <v>312310.61999999988</v>
      </c>
      <c r="J34" s="117">
        <f t="shared" si="20"/>
        <v>318043.3899999999</v>
      </c>
      <c r="K34" s="117">
        <f t="shared" si="20"/>
        <v>323776.15999999986</v>
      </c>
      <c r="L34" s="117">
        <f t="shared" si="20"/>
        <v>329508.92999999988</v>
      </c>
      <c r="M34" s="117">
        <f t="shared" si="20"/>
        <v>335241.69999999984</v>
      </c>
      <c r="N34" s="117">
        <f t="shared" si="20"/>
        <v>340974.46999999986</v>
      </c>
      <c r="O34" s="117">
        <f t="shared" si="19"/>
        <v>306577.84999999992</v>
      </c>
      <c r="R34" s="126">
        <f t="shared" si="14"/>
        <v>24422.633510968924</v>
      </c>
      <c r="S34" s="126">
        <f t="shared" si="14"/>
        <v>58259.466081613602</v>
      </c>
      <c r="T34" s="126">
        <f t="shared" si="14"/>
        <v>24400.691160917417</v>
      </c>
      <c r="U34" s="126">
        <f t="shared" si="14"/>
        <v>306.9269328417285</v>
      </c>
      <c r="V34" s="126">
        <f t="shared" si="14"/>
        <v>57.316078013338384</v>
      </c>
      <c r="W34" s="126">
        <f t="shared" si="14"/>
        <v>199130.81623564489</v>
      </c>
      <c r="X34" s="125"/>
      <c r="Y34" s="125"/>
      <c r="Z34" s="126">
        <f t="shared" si="15"/>
        <v>27162.740287358876</v>
      </c>
      <c r="AA34" s="126">
        <f t="shared" si="15"/>
        <v>64795.909325025183</v>
      </c>
      <c r="AB34" s="126">
        <f t="shared" si="15"/>
        <v>27138.336106889325</v>
      </c>
      <c r="AC34" s="126">
        <f t="shared" si="15"/>
        <v>341.36271832565188</v>
      </c>
      <c r="AD34" s="126">
        <f t="shared" si="15"/>
        <v>63.746677468958389</v>
      </c>
      <c r="AE34" s="126">
        <f t="shared" si="15"/>
        <v>221472.37488493184</v>
      </c>
    </row>
    <row r="35" spans="1:31" x14ac:dyDescent="0.25">
      <c r="A35" t="s">
        <v>435</v>
      </c>
      <c r="B35" s="68">
        <f>'Corporate and Skipjack Alloc 21'!N35</f>
        <v>5650.81</v>
      </c>
      <c r="C35" s="68">
        <f t="shared" si="17"/>
        <v>5700.2800000000007</v>
      </c>
      <c r="D35" s="68">
        <f t="shared" si="17"/>
        <v>5749.7500000000009</v>
      </c>
      <c r="E35" s="68">
        <f t="shared" si="17"/>
        <v>5799.2200000000012</v>
      </c>
      <c r="F35" s="68">
        <f t="shared" si="17"/>
        <v>5848.6900000000014</v>
      </c>
      <c r="G35" s="68">
        <f t="shared" si="17"/>
        <v>5898.1600000000017</v>
      </c>
      <c r="H35" s="68">
        <f t="shared" si="17"/>
        <v>5947.6300000000019</v>
      </c>
      <c r="I35" s="68">
        <f t="shared" si="17"/>
        <v>5997.1000000000022</v>
      </c>
      <c r="J35" s="68">
        <f t="shared" si="17"/>
        <v>6046.5700000000024</v>
      </c>
      <c r="K35" s="68">
        <f t="shared" si="17"/>
        <v>6096.0400000000027</v>
      </c>
      <c r="L35" s="68">
        <f t="shared" si="17"/>
        <v>6145.5100000000029</v>
      </c>
      <c r="M35" s="68">
        <f t="shared" si="17"/>
        <v>6194.9800000000032</v>
      </c>
      <c r="N35" s="68">
        <f t="shared" si="17"/>
        <v>6244.4500000000035</v>
      </c>
      <c r="O35" s="68">
        <f t="shared" si="18"/>
        <v>5947.630000000001</v>
      </c>
      <c r="R35" s="124">
        <f t="shared" si="14"/>
        <v>473.80066025267047</v>
      </c>
      <c r="S35" s="124">
        <f t="shared" si="14"/>
        <v>1130.2373875052867</v>
      </c>
      <c r="T35" s="124">
        <f t="shared" si="14"/>
        <v>473.37497725098967</v>
      </c>
      <c r="U35" s="124">
        <f t="shared" si="14"/>
        <v>5.9544022295721968</v>
      </c>
      <c r="V35" s="124">
        <f t="shared" si="14"/>
        <v>1.1119355983299899</v>
      </c>
      <c r="W35" s="124">
        <f t="shared" si="14"/>
        <v>3863.1506371631517</v>
      </c>
      <c r="X35" s="125"/>
      <c r="Y35" s="125"/>
      <c r="Z35" s="124">
        <f t="shared" si="15"/>
        <v>497.44596299951229</v>
      </c>
      <c r="AA35" s="124">
        <f t="shared" si="15"/>
        <v>1186.642554161471</v>
      </c>
      <c r="AB35" s="124">
        <f t="shared" si="15"/>
        <v>496.99903603535245</v>
      </c>
      <c r="AC35" s="124">
        <f t="shared" si="15"/>
        <v>6.2515602017025467</v>
      </c>
      <c r="AD35" s="124">
        <f t="shared" si="15"/>
        <v>1.1674274033508656</v>
      </c>
      <c r="AE35" s="124">
        <f t="shared" si="15"/>
        <v>4055.9434591986137</v>
      </c>
    </row>
    <row r="36" spans="1:31" x14ac:dyDescent="0.25">
      <c r="A36" t="s">
        <v>441</v>
      </c>
      <c r="B36" s="68">
        <f>'Corporate and Skipjack Alloc 21'!N36</f>
        <v>266530.42</v>
      </c>
      <c r="C36" s="68">
        <f t="shared" si="17"/>
        <v>272213.71999999997</v>
      </c>
      <c r="D36" s="68">
        <f t="shared" si="17"/>
        <v>277897.01999999996</v>
      </c>
      <c r="E36" s="68">
        <f t="shared" si="17"/>
        <v>283580.31999999995</v>
      </c>
      <c r="F36" s="68">
        <f t="shared" si="17"/>
        <v>289263.61999999994</v>
      </c>
      <c r="G36" s="68">
        <f t="shared" si="17"/>
        <v>294946.91999999993</v>
      </c>
      <c r="H36" s="68">
        <f t="shared" si="17"/>
        <v>300630.21999999991</v>
      </c>
      <c r="I36" s="68">
        <f t="shared" si="17"/>
        <v>306313.5199999999</v>
      </c>
      <c r="J36" s="68">
        <f t="shared" si="17"/>
        <v>311996.81999999989</v>
      </c>
      <c r="K36" s="68">
        <f t="shared" si="17"/>
        <v>317680.11999999988</v>
      </c>
      <c r="L36" s="68">
        <f t="shared" si="17"/>
        <v>323363.41999999987</v>
      </c>
      <c r="M36" s="68">
        <f t="shared" si="17"/>
        <v>329046.71999999986</v>
      </c>
      <c r="N36" s="68">
        <f t="shared" si="17"/>
        <v>334730.01999999984</v>
      </c>
      <c r="O36" s="68">
        <f t="shared" si="18"/>
        <v>300630.21999999991</v>
      </c>
      <c r="R36" s="124">
        <f t="shared" si="14"/>
        <v>23948.832850716251</v>
      </c>
      <c r="S36" s="124">
        <f t="shared" si="14"/>
        <v>57129.228694108315</v>
      </c>
      <c r="T36" s="124">
        <f t="shared" si="14"/>
        <v>23927.316183666426</v>
      </c>
      <c r="U36" s="124">
        <f t="shared" si="14"/>
        <v>300.97253061215628</v>
      </c>
      <c r="V36" s="124">
        <f t="shared" si="14"/>
        <v>56.204142415008391</v>
      </c>
      <c r="W36" s="124">
        <f t="shared" si="14"/>
        <v>195267.66559848175</v>
      </c>
      <c r="X36" s="125"/>
      <c r="Y36" s="125"/>
      <c r="Z36" s="124">
        <f t="shared" si="15"/>
        <v>26665.294324359365</v>
      </c>
      <c r="AA36" s="124">
        <f t="shared" si="15"/>
        <v>63609.266770863709</v>
      </c>
      <c r="AB36" s="124">
        <f t="shared" si="15"/>
        <v>26641.337070853973</v>
      </c>
      <c r="AC36" s="124">
        <f t="shared" si="15"/>
        <v>335.11115812394928</v>
      </c>
      <c r="AD36" s="124">
        <f t="shared" si="15"/>
        <v>62.579250065607518</v>
      </c>
      <c r="AE36" s="124">
        <f t="shared" si="15"/>
        <v>217416.43142573323</v>
      </c>
    </row>
    <row r="37" spans="1:31" ht="15.75" thickBot="1" x14ac:dyDescent="0.3">
      <c r="A37" s="116" t="s">
        <v>443</v>
      </c>
      <c r="B37" s="117">
        <f t="shared" ref="B37:O37" si="21">B34+B23</f>
        <v>6113771.7699999996</v>
      </c>
      <c r="C37" s="117">
        <f t="shared" si="21"/>
        <v>6319887.6862666663</v>
      </c>
      <c r="D37" s="117">
        <f t="shared" ref="D37:N37" si="22">D34+D23</f>
        <v>6526003.602533333</v>
      </c>
      <c r="E37" s="117">
        <f t="shared" si="22"/>
        <v>6732258.6854666658</v>
      </c>
      <c r="F37" s="117">
        <f t="shared" si="22"/>
        <v>6938513.7684000004</v>
      </c>
      <c r="G37" s="117">
        <f t="shared" si="22"/>
        <v>7144768.8513333332</v>
      </c>
      <c r="H37" s="117">
        <f t="shared" si="22"/>
        <v>7351611.0673000012</v>
      </c>
      <c r="I37" s="117">
        <f t="shared" si="22"/>
        <v>7558453.2832666663</v>
      </c>
      <c r="J37" s="117">
        <f t="shared" si="22"/>
        <v>7765295.4992333343</v>
      </c>
      <c r="K37" s="117">
        <f t="shared" si="22"/>
        <v>7972137.7151999995</v>
      </c>
      <c r="L37" s="117">
        <f t="shared" si="22"/>
        <v>8178979.9311666647</v>
      </c>
      <c r="M37" s="117">
        <f t="shared" si="22"/>
        <v>8385822.1471333327</v>
      </c>
      <c r="N37" s="117">
        <f t="shared" si="22"/>
        <v>8597836.7232833337</v>
      </c>
      <c r="O37" s="117">
        <f t="shared" si="21"/>
        <v>7352718.51773718</v>
      </c>
      <c r="R37" s="129">
        <f t="shared" si="14"/>
        <v>585732.9538582447</v>
      </c>
      <c r="S37" s="129">
        <f t="shared" si="14"/>
        <v>1397248.5458155624</v>
      </c>
      <c r="T37" s="129">
        <f t="shared" si="14"/>
        <v>585206.70604371279</v>
      </c>
      <c r="U37" s="129">
        <f t="shared" si="14"/>
        <v>7361.0906420592792</v>
      </c>
      <c r="V37" s="129">
        <f t="shared" si="14"/>
        <v>1374.623079171382</v>
      </c>
      <c r="W37" s="129">
        <f t="shared" si="14"/>
        <v>4775794.5982984295</v>
      </c>
      <c r="X37" s="125"/>
      <c r="Y37" s="125"/>
      <c r="Z37" s="129">
        <f t="shared" si="15"/>
        <v>684921.67741374287</v>
      </c>
      <c r="AA37" s="129">
        <f t="shared" si="15"/>
        <v>1633860.2966762842</v>
      </c>
      <c r="AB37" s="129">
        <f t="shared" si="15"/>
        <v>684306.31416076166</v>
      </c>
      <c r="AC37" s="129">
        <f t="shared" si="15"/>
        <v>8607.6265932171264</v>
      </c>
      <c r="AD37" s="129">
        <f t="shared" si="15"/>
        <v>1607.4034062723492</v>
      </c>
      <c r="AE37" s="129">
        <f t="shared" si="15"/>
        <v>5584533.4050330548</v>
      </c>
    </row>
    <row r="38" spans="1:31" ht="15.75" thickTop="1" x14ac:dyDescent="0.25"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</row>
    <row r="39" spans="1:31" ht="15.75" x14ac:dyDescent="0.25">
      <c r="A39" s="112" t="s">
        <v>460</v>
      </c>
      <c r="O39" s="119" t="s">
        <v>32</v>
      </c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</row>
    <row r="40" spans="1:31" x14ac:dyDescent="0.25">
      <c r="A40" s="116" t="s">
        <v>454</v>
      </c>
      <c r="B40" s="117"/>
      <c r="C40" s="117">
        <f t="shared" ref="C40:O40" si="23">SUM(C41:C50)</f>
        <v>200383.14626666665</v>
      </c>
      <c r="D40" s="117">
        <f t="shared" si="23"/>
        <v>200383.14626666665</v>
      </c>
      <c r="E40" s="117">
        <f t="shared" si="23"/>
        <v>200522.31293333328</v>
      </c>
      <c r="F40" s="117">
        <f t="shared" si="23"/>
        <v>200522.31293333328</v>
      </c>
      <c r="G40" s="117">
        <f t="shared" si="23"/>
        <v>200522.31293333328</v>
      </c>
      <c r="H40" s="117">
        <f t="shared" si="23"/>
        <v>201109.44596666662</v>
      </c>
      <c r="I40" s="117">
        <f t="shared" si="23"/>
        <v>201109.44596666662</v>
      </c>
      <c r="J40" s="117">
        <f t="shared" si="23"/>
        <v>201109.44596666662</v>
      </c>
      <c r="K40" s="117">
        <f t="shared" si="23"/>
        <v>201109.44596666662</v>
      </c>
      <c r="L40" s="117">
        <f t="shared" si="23"/>
        <v>201109.44596666662</v>
      </c>
      <c r="M40" s="117">
        <f t="shared" si="23"/>
        <v>201109.44596666662</v>
      </c>
      <c r="N40" s="117">
        <f t="shared" si="23"/>
        <v>206281.80614999996</v>
      </c>
      <c r="O40" s="117">
        <f t="shared" si="23"/>
        <v>2415271.713283333</v>
      </c>
      <c r="R40" s="125"/>
      <c r="S40" s="125"/>
      <c r="T40" s="125"/>
      <c r="U40" s="125"/>
      <c r="V40" s="125"/>
      <c r="W40" s="125"/>
      <c r="X40" s="125"/>
      <c r="Y40" s="125"/>
      <c r="Z40" s="122">
        <f>$O40*Z$3</f>
        <v>192405.60230600115</v>
      </c>
      <c r="AA40" s="122">
        <f t="shared" ref="AA40:AE54" si="24">$O40*AA$3</f>
        <v>458977.84350014571</v>
      </c>
      <c r="AB40" s="122">
        <f t="shared" si="24"/>
        <v>192232.73679271515</v>
      </c>
      <c r="AC40" s="122">
        <f t="shared" si="24"/>
        <v>2418.0218464492468</v>
      </c>
      <c r="AD40" s="122">
        <f t="shared" si="24"/>
        <v>451.54567409862454</v>
      </c>
      <c r="AE40" s="122">
        <f t="shared" si="24"/>
        <v>1568785.963163923</v>
      </c>
    </row>
    <row r="41" spans="1:31" x14ac:dyDescent="0.25">
      <c r="A41" t="s">
        <v>455</v>
      </c>
      <c r="B41" s="118"/>
      <c r="C41" s="118">
        <f>'Corporate and Skipjack Alloc 21'!N41</f>
        <v>0</v>
      </c>
      <c r="D41" s="125">
        <f>C41</f>
        <v>0</v>
      </c>
      <c r="E41" s="125">
        <f t="shared" ref="E41:N41" si="25">D41</f>
        <v>0</v>
      </c>
      <c r="F41" s="125">
        <f t="shared" si="25"/>
        <v>0</v>
      </c>
      <c r="G41" s="125">
        <f t="shared" si="25"/>
        <v>0</v>
      </c>
      <c r="H41" s="125">
        <f t="shared" si="25"/>
        <v>0</v>
      </c>
      <c r="I41" s="125">
        <f t="shared" si="25"/>
        <v>0</v>
      </c>
      <c r="J41" s="125">
        <f t="shared" si="25"/>
        <v>0</v>
      </c>
      <c r="K41" s="125">
        <f t="shared" si="25"/>
        <v>0</v>
      </c>
      <c r="L41" s="125">
        <f t="shared" si="25"/>
        <v>0</v>
      </c>
      <c r="M41" s="125">
        <f t="shared" si="25"/>
        <v>0</v>
      </c>
      <c r="N41" s="125">
        <f t="shared" si="25"/>
        <v>0</v>
      </c>
      <c r="O41" s="118">
        <f>SUM(C41:N41)</f>
        <v>0</v>
      </c>
      <c r="P41" s="118"/>
      <c r="Q41" s="118"/>
      <c r="R41" s="124"/>
      <c r="S41" s="124"/>
      <c r="T41" s="124"/>
      <c r="U41" s="124"/>
      <c r="V41" s="124"/>
      <c r="W41" s="124"/>
      <c r="X41" s="125"/>
      <c r="Y41" s="125"/>
      <c r="Z41" s="124">
        <f t="shared" ref="Z41:Z54" si="26">$O41*Z$3</f>
        <v>0</v>
      </c>
      <c r="AA41" s="124">
        <f t="shared" si="24"/>
        <v>0</v>
      </c>
      <c r="AB41" s="124">
        <f t="shared" si="24"/>
        <v>0</v>
      </c>
      <c r="AC41" s="124">
        <f t="shared" si="24"/>
        <v>0</v>
      </c>
      <c r="AD41" s="124">
        <f t="shared" si="24"/>
        <v>0</v>
      </c>
      <c r="AE41" s="124">
        <f t="shared" si="24"/>
        <v>0</v>
      </c>
    </row>
    <row r="42" spans="1:31" x14ac:dyDescent="0.25">
      <c r="A42" t="s">
        <v>434</v>
      </c>
      <c r="B42" s="118"/>
      <c r="C42" s="125">
        <f>'Corporate and Skipjack Alloc 21'!N42</f>
        <v>21615.870000000003</v>
      </c>
      <c r="D42" s="125">
        <f t="shared" ref="D42:N50" si="27">C42</f>
        <v>21615.870000000003</v>
      </c>
      <c r="E42" s="125">
        <f t="shared" si="27"/>
        <v>21615.870000000003</v>
      </c>
      <c r="F42" s="125">
        <f t="shared" si="27"/>
        <v>21615.870000000003</v>
      </c>
      <c r="G42" s="125">
        <f t="shared" si="27"/>
        <v>21615.870000000003</v>
      </c>
      <c r="H42" s="125">
        <f t="shared" si="27"/>
        <v>21615.870000000003</v>
      </c>
      <c r="I42" s="125">
        <f t="shared" si="27"/>
        <v>21615.870000000003</v>
      </c>
      <c r="J42" s="125">
        <f t="shared" si="27"/>
        <v>21615.870000000003</v>
      </c>
      <c r="K42" s="125">
        <f t="shared" si="27"/>
        <v>21615.870000000003</v>
      </c>
      <c r="L42" s="125">
        <f t="shared" si="27"/>
        <v>21615.870000000003</v>
      </c>
      <c r="M42" s="125">
        <f t="shared" si="27"/>
        <v>21615.870000000003</v>
      </c>
      <c r="N42" s="125">
        <f t="shared" si="27"/>
        <v>21615.870000000003</v>
      </c>
      <c r="O42" s="68">
        <f t="shared" ref="O42:O53" si="28">SUM(C42:N42)</f>
        <v>259390.43999999997</v>
      </c>
      <c r="P42" s="68"/>
      <c r="Q42" s="68"/>
      <c r="R42" s="125"/>
      <c r="S42" s="125"/>
      <c r="T42" s="125"/>
      <c r="U42" s="125"/>
      <c r="V42" s="125"/>
      <c r="W42" s="125"/>
      <c r="X42" s="125"/>
      <c r="Y42" s="125"/>
      <c r="Z42" s="124">
        <f t="shared" si="26"/>
        <v>20663.585619016427</v>
      </c>
      <c r="AA42" s="124">
        <f t="shared" si="24"/>
        <v>49292.369103230485</v>
      </c>
      <c r="AB42" s="124">
        <f t="shared" si="24"/>
        <v>20645.020560143144</v>
      </c>
      <c r="AC42" s="124">
        <f t="shared" si="24"/>
        <v>259.68579320934771</v>
      </c>
      <c r="AD42" s="124">
        <f t="shared" si="24"/>
        <v>48.494184087187548</v>
      </c>
      <c r="AE42" s="124">
        <f t="shared" si="24"/>
        <v>168481.28474031336</v>
      </c>
    </row>
    <row r="43" spans="1:31" x14ac:dyDescent="0.25">
      <c r="A43" t="s">
        <v>456</v>
      </c>
      <c r="B43" s="118"/>
      <c r="C43" s="125">
        <f>'Corporate and Skipjack Alloc 21'!N43</f>
        <v>3549.02</v>
      </c>
      <c r="D43" s="125">
        <f t="shared" si="27"/>
        <v>3549.02</v>
      </c>
      <c r="E43" s="125">
        <f t="shared" si="27"/>
        <v>3549.02</v>
      </c>
      <c r="F43" s="125">
        <f t="shared" si="27"/>
        <v>3549.02</v>
      </c>
      <c r="G43" s="125">
        <f t="shared" si="27"/>
        <v>3549.02</v>
      </c>
      <c r="H43" s="125">
        <f t="shared" si="27"/>
        <v>3549.02</v>
      </c>
      <c r="I43" s="125">
        <f t="shared" si="27"/>
        <v>3549.02</v>
      </c>
      <c r="J43" s="125">
        <f t="shared" si="27"/>
        <v>3549.02</v>
      </c>
      <c r="K43" s="125">
        <f t="shared" si="27"/>
        <v>3549.02</v>
      </c>
      <c r="L43" s="125">
        <f t="shared" si="27"/>
        <v>3549.02</v>
      </c>
      <c r="M43" s="125">
        <f t="shared" si="27"/>
        <v>3549.02</v>
      </c>
      <c r="N43" s="125">
        <f t="shared" si="27"/>
        <v>3549.02</v>
      </c>
      <c r="O43" s="68">
        <f t="shared" si="28"/>
        <v>42588.239999999991</v>
      </c>
      <c r="P43" s="68"/>
      <c r="Q43" s="68"/>
      <c r="R43" s="125"/>
      <c r="S43" s="125"/>
      <c r="T43" s="125"/>
      <c r="U43" s="125"/>
      <c r="V43" s="125"/>
      <c r="W43" s="125"/>
      <c r="X43" s="125"/>
      <c r="Y43" s="125"/>
      <c r="Z43" s="124">
        <f t="shared" si="26"/>
        <v>3392.6683790012462</v>
      </c>
      <c r="AA43" s="124">
        <f t="shared" si="24"/>
        <v>8093.1095438095736</v>
      </c>
      <c r="AB43" s="124">
        <f t="shared" si="24"/>
        <v>3389.6202590207663</v>
      </c>
      <c r="AC43" s="124">
        <f t="shared" si="24"/>
        <v>42.63673281787127</v>
      </c>
      <c r="AD43" s="124">
        <f t="shared" si="24"/>
        <v>7.9620588581033438</v>
      </c>
      <c r="AE43" s="124">
        <f t="shared" si="24"/>
        <v>27662.24302649243</v>
      </c>
    </row>
    <row r="44" spans="1:31" x14ac:dyDescent="0.25">
      <c r="A44" t="s">
        <v>435</v>
      </c>
      <c r="B44" s="118"/>
      <c r="C44" s="125">
        <f>'Corporate and Skipjack Alloc 21'!N44</f>
        <v>10487.479999999998</v>
      </c>
      <c r="D44" s="125">
        <f t="shared" si="27"/>
        <v>10487.479999999998</v>
      </c>
      <c r="E44" s="125">
        <f t="shared" si="27"/>
        <v>10487.479999999998</v>
      </c>
      <c r="F44" s="125">
        <f t="shared" si="27"/>
        <v>10487.479999999998</v>
      </c>
      <c r="G44" s="125">
        <f t="shared" si="27"/>
        <v>10487.479999999998</v>
      </c>
      <c r="H44" s="125">
        <f t="shared" si="27"/>
        <v>10487.479999999998</v>
      </c>
      <c r="I44" s="125">
        <f t="shared" si="27"/>
        <v>10487.479999999998</v>
      </c>
      <c r="J44" s="125">
        <f t="shared" si="27"/>
        <v>10487.479999999998</v>
      </c>
      <c r="K44" s="125">
        <f t="shared" si="27"/>
        <v>10487.479999999998</v>
      </c>
      <c r="L44" s="125">
        <f t="shared" si="27"/>
        <v>10487.479999999998</v>
      </c>
      <c r="M44" s="125">
        <f t="shared" si="27"/>
        <v>10487.479999999998</v>
      </c>
      <c r="N44" s="125">
        <f t="shared" si="27"/>
        <v>10487.479999999998</v>
      </c>
      <c r="O44" s="68">
        <f t="shared" si="28"/>
        <v>125849.75999999997</v>
      </c>
      <c r="P44" s="68"/>
      <c r="Q44" s="68"/>
      <c r="R44" s="125"/>
      <c r="S44" s="125"/>
      <c r="T44" s="125"/>
      <c r="U44" s="125"/>
      <c r="V44" s="125"/>
      <c r="W44" s="125"/>
      <c r="X44" s="125"/>
      <c r="Y44" s="125"/>
      <c r="Z44" s="124">
        <f t="shared" si="26"/>
        <v>10025.455413440326</v>
      </c>
      <c r="AA44" s="124">
        <f t="shared" si="24"/>
        <v>23915.425801633133</v>
      </c>
      <c r="AB44" s="124">
        <f t="shared" si="24"/>
        <v>10016.448110767227</v>
      </c>
      <c r="AC44" s="124">
        <f t="shared" si="24"/>
        <v>125.99305799707203</v>
      </c>
      <c r="AD44" s="124">
        <f t="shared" si="24"/>
        <v>23.528166376402964</v>
      </c>
      <c r="AE44" s="124">
        <f t="shared" si="24"/>
        <v>81742.909449785802</v>
      </c>
    </row>
    <row r="45" spans="1:31" x14ac:dyDescent="0.25">
      <c r="A45" t="s">
        <v>457</v>
      </c>
      <c r="B45" s="156"/>
      <c r="C45" s="125">
        <f>'Corporate and Skipjack Alloc 21'!N45+(161528*0.0334/12)</f>
        <v>65613.72626666665</v>
      </c>
      <c r="D45" s="125">
        <f t="shared" si="27"/>
        <v>65613.72626666665</v>
      </c>
      <c r="E45" s="125">
        <f>D45+(50000*0.0334/12)</f>
        <v>65752.892933333322</v>
      </c>
      <c r="F45" s="125">
        <f t="shared" si="27"/>
        <v>65752.892933333322</v>
      </c>
      <c r="G45" s="125">
        <f t="shared" si="27"/>
        <v>65752.892933333322</v>
      </c>
      <c r="H45" s="125">
        <f>G45+(210946*0.0334/12)</f>
        <v>66340.025966666653</v>
      </c>
      <c r="I45" s="125">
        <f t="shared" si="27"/>
        <v>66340.025966666653</v>
      </c>
      <c r="J45" s="125">
        <f t="shared" si="27"/>
        <v>66340.025966666653</v>
      </c>
      <c r="K45" s="125">
        <f t="shared" si="27"/>
        <v>66340.025966666653</v>
      </c>
      <c r="L45" s="125">
        <f t="shared" si="27"/>
        <v>66340.025966666653</v>
      </c>
      <c r="M45" s="125">
        <f t="shared" si="27"/>
        <v>66340.025966666653</v>
      </c>
      <c r="N45" s="125">
        <f>M45+(1858333*0.0334/12)</f>
        <v>71512.386149999991</v>
      </c>
      <c r="O45" s="68">
        <f t="shared" si="28"/>
        <v>798038.67328333308</v>
      </c>
      <c r="P45" s="68"/>
      <c r="Q45" s="68"/>
      <c r="R45" s="125"/>
      <c r="S45" s="125"/>
      <c r="T45" s="125"/>
      <c r="U45" s="125"/>
      <c r="V45" s="125"/>
      <c r="W45" s="125"/>
      <c r="X45" s="125"/>
      <c r="Y45" s="125"/>
      <c r="Z45" s="124">
        <f t="shared" si="26"/>
        <v>63573.431822223021</v>
      </c>
      <c r="AA45" s="124">
        <f t="shared" si="24"/>
        <v>151652.53138139719</v>
      </c>
      <c r="AB45" s="124">
        <f t="shared" si="24"/>
        <v>63516.314701975018</v>
      </c>
      <c r="AC45" s="124">
        <f t="shared" si="24"/>
        <v>798.94735474182414</v>
      </c>
      <c r="AD45" s="124">
        <f t="shared" si="24"/>
        <v>149.19684137509802</v>
      </c>
      <c r="AE45" s="124">
        <f t="shared" si="24"/>
        <v>518348.25118162087</v>
      </c>
    </row>
    <row r="46" spans="1:31" x14ac:dyDescent="0.25">
      <c r="A46" t="s">
        <v>436</v>
      </c>
      <c r="B46" s="118"/>
      <c r="C46" s="125">
        <f>'Corporate and Skipjack Alloc 21'!N46</f>
        <v>12997.810000000001</v>
      </c>
      <c r="D46" s="125">
        <f t="shared" si="27"/>
        <v>12997.810000000001</v>
      </c>
      <c r="E46" s="125">
        <f t="shared" si="27"/>
        <v>12997.810000000001</v>
      </c>
      <c r="F46" s="125">
        <f t="shared" si="27"/>
        <v>12997.810000000001</v>
      </c>
      <c r="G46" s="125">
        <f t="shared" si="27"/>
        <v>12997.810000000001</v>
      </c>
      <c r="H46" s="125">
        <f t="shared" si="27"/>
        <v>12997.810000000001</v>
      </c>
      <c r="I46" s="125">
        <f t="shared" si="27"/>
        <v>12997.810000000001</v>
      </c>
      <c r="J46" s="125">
        <f t="shared" si="27"/>
        <v>12997.810000000001</v>
      </c>
      <c r="K46" s="125">
        <f t="shared" si="27"/>
        <v>12997.810000000001</v>
      </c>
      <c r="L46" s="125">
        <f t="shared" si="27"/>
        <v>12997.810000000001</v>
      </c>
      <c r="M46" s="125">
        <f t="shared" si="27"/>
        <v>12997.810000000001</v>
      </c>
      <c r="N46" s="125">
        <f t="shared" si="27"/>
        <v>12997.810000000001</v>
      </c>
      <c r="O46" s="68">
        <f t="shared" si="28"/>
        <v>155973.72</v>
      </c>
      <c r="P46" s="68"/>
      <c r="Q46" s="68"/>
      <c r="R46" s="125"/>
      <c r="S46" s="125"/>
      <c r="T46" s="125"/>
      <c r="U46" s="125"/>
      <c r="V46" s="125"/>
      <c r="W46" s="125"/>
      <c r="X46" s="125"/>
      <c r="Y46" s="125"/>
      <c r="Z46" s="124">
        <f t="shared" si="26"/>
        <v>12425.193147197311</v>
      </c>
      <c r="AA46" s="124">
        <f t="shared" si="24"/>
        <v>29639.928814045437</v>
      </c>
      <c r="AB46" s="124">
        <f t="shared" si="24"/>
        <v>12414.029816372607</v>
      </c>
      <c r="AC46" s="124">
        <f t="shared" si="24"/>
        <v>156.15131844493845</v>
      </c>
      <c r="AD46" s="124">
        <f t="shared" si="24"/>
        <v>29.159973245133656</v>
      </c>
      <c r="AE46" s="124">
        <f t="shared" si="24"/>
        <v>101309.25693069457</v>
      </c>
    </row>
    <row r="47" spans="1:31" x14ac:dyDescent="0.25">
      <c r="A47" t="s">
        <v>437</v>
      </c>
      <c r="B47" s="118"/>
      <c r="C47" s="125">
        <f>'Corporate and Skipjack Alloc 21'!N47</f>
        <v>1595.98</v>
      </c>
      <c r="D47" s="125">
        <f t="shared" si="27"/>
        <v>1595.98</v>
      </c>
      <c r="E47" s="125">
        <f t="shared" si="27"/>
        <v>1595.98</v>
      </c>
      <c r="F47" s="125">
        <f t="shared" si="27"/>
        <v>1595.98</v>
      </c>
      <c r="G47" s="125">
        <f t="shared" si="27"/>
        <v>1595.98</v>
      </c>
      <c r="H47" s="125">
        <f t="shared" si="27"/>
        <v>1595.98</v>
      </c>
      <c r="I47" s="125">
        <f t="shared" si="27"/>
        <v>1595.98</v>
      </c>
      <c r="J47" s="125">
        <f t="shared" si="27"/>
        <v>1595.98</v>
      </c>
      <c r="K47" s="125">
        <f t="shared" si="27"/>
        <v>1595.98</v>
      </c>
      <c r="L47" s="125">
        <f t="shared" si="27"/>
        <v>1595.98</v>
      </c>
      <c r="M47" s="125">
        <f t="shared" si="27"/>
        <v>1595.98</v>
      </c>
      <c r="N47" s="125">
        <f t="shared" si="27"/>
        <v>1595.98</v>
      </c>
      <c r="O47" s="68">
        <f t="shared" si="28"/>
        <v>19151.759999999998</v>
      </c>
      <c r="P47" s="68"/>
      <c r="Q47" s="68"/>
      <c r="R47" s="125"/>
      <c r="S47" s="125"/>
      <c r="T47" s="125"/>
      <c r="U47" s="125"/>
      <c r="V47" s="125"/>
      <c r="W47" s="125"/>
      <c r="X47" s="125"/>
      <c r="Y47" s="125"/>
      <c r="Z47" s="124">
        <f t="shared" si="26"/>
        <v>1525.6693057571977</v>
      </c>
      <c r="AA47" s="124">
        <f t="shared" si="24"/>
        <v>3639.43876611831</v>
      </c>
      <c r="AB47" s="124">
        <f t="shared" si="24"/>
        <v>1524.2985784785556</v>
      </c>
      <c r="AC47" s="124">
        <f t="shared" si="24"/>
        <v>19.17356702488749</v>
      </c>
      <c r="AD47" s="124">
        <f t="shared" si="24"/>
        <v>3.5805058005747434</v>
      </c>
      <c r="AE47" s="124">
        <f t="shared" si="24"/>
        <v>12439.599276820472</v>
      </c>
    </row>
    <row r="48" spans="1:31" x14ac:dyDescent="0.25">
      <c r="A48" t="s">
        <v>438</v>
      </c>
      <c r="B48" s="118"/>
      <c r="C48" s="125">
        <f>'Corporate and Skipjack Alloc 21'!N48</f>
        <v>64898.66</v>
      </c>
      <c r="D48" s="125">
        <f t="shared" si="27"/>
        <v>64898.66</v>
      </c>
      <c r="E48" s="125">
        <f t="shared" si="27"/>
        <v>64898.66</v>
      </c>
      <c r="F48" s="125">
        <f t="shared" si="27"/>
        <v>64898.66</v>
      </c>
      <c r="G48" s="125">
        <f t="shared" si="27"/>
        <v>64898.66</v>
      </c>
      <c r="H48" s="125">
        <f t="shared" si="27"/>
        <v>64898.66</v>
      </c>
      <c r="I48" s="125">
        <f t="shared" si="27"/>
        <v>64898.66</v>
      </c>
      <c r="J48" s="125">
        <f t="shared" si="27"/>
        <v>64898.66</v>
      </c>
      <c r="K48" s="125">
        <f t="shared" si="27"/>
        <v>64898.66</v>
      </c>
      <c r="L48" s="125">
        <f t="shared" si="27"/>
        <v>64898.66</v>
      </c>
      <c r="M48" s="125">
        <f t="shared" si="27"/>
        <v>64898.66</v>
      </c>
      <c r="N48" s="125">
        <f t="shared" si="27"/>
        <v>64898.66</v>
      </c>
      <c r="O48" s="68">
        <f t="shared" si="28"/>
        <v>778783.92000000027</v>
      </c>
      <c r="P48" s="68"/>
      <c r="Q48" s="68"/>
      <c r="R48" s="125"/>
      <c r="S48" s="125"/>
      <c r="T48" s="125"/>
      <c r="U48" s="125"/>
      <c r="V48" s="125"/>
      <c r="W48" s="125"/>
      <c r="X48" s="125"/>
      <c r="Y48" s="125"/>
      <c r="Z48" s="124">
        <f t="shared" si="26"/>
        <v>62039.557855845596</v>
      </c>
      <c r="AA48" s="124">
        <f t="shared" si="24"/>
        <v>147993.5206413187</v>
      </c>
      <c r="AB48" s="124">
        <f t="shared" si="24"/>
        <v>61983.81883429813</v>
      </c>
      <c r="AC48" s="124">
        <f t="shared" si="24"/>
        <v>779.67067716098279</v>
      </c>
      <c r="AD48" s="124">
        <f t="shared" si="24"/>
        <v>145.59708052702928</v>
      </c>
      <c r="AE48" s="124">
        <f t="shared" si="24"/>
        <v>505841.75491084979</v>
      </c>
    </row>
    <row r="49" spans="1:31" x14ac:dyDescent="0.25">
      <c r="A49" t="s">
        <v>458</v>
      </c>
      <c r="B49" s="118"/>
      <c r="C49" s="125">
        <f>'Corporate and Skipjack Alloc 21'!N49</f>
        <v>15067.77</v>
      </c>
      <c r="D49" s="125">
        <f t="shared" si="27"/>
        <v>15067.77</v>
      </c>
      <c r="E49" s="125">
        <f t="shared" si="27"/>
        <v>15067.77</v>
      </c>
      <c r="F49" s="125">
        <f t="shared" si="27"/>
        <v>15067.77</v>
      </c>
      <c r="G49" s="125">
        <f t="shared" si="27"/>
        <v>15067.77</v>
      </c>
      <c r="H49" s="125">
        <f t="shared" si="27"/>
        <v>15067.77</v>
      </c>
      <c r="I49" s="125">
        <f t="shared" si="27"/>
        <v>15067.77</v>
      </c>
      <c r="J49" s="125">
        <f t="shared" si="27"/>
        <v>15067.77</v>
      </c>
      <c r="K49" s="125">
        <f t="shared" si="27"/>
        <v>15067.77</v>
      </c>
      <c r="L49" s="125">
        <f t="shared" si="27"/>
        <v>15067.77</v>
      </c>
      <c r="M49" s="125">
        <f t="shared" si="27"/>
        <v>15067.77</v>
      </c>
      <c r="N49" s="125">
        <f t="shared" si="27"/>
        <v>15067.77</v>
      </c>
      <c r="O49" s="68">
        <f t="shared" si="28"/>
        <v>180813.24</v>
      </c>
      <c r="P49" s="68"/>
      <c r="Q49" s="68"/>
      <c r="R49" s="125"/>
      <c r="S49" s="125"/>
      <c r="T49" s="125"/>
      <c r="U49" s="125"/>
      <c r="V49" s="125"/>
      <c r="W49" s="125"/>
      <c r="X49" s="125"/>
      <c r="Y49" s="125"/>
      <c r="Z49" s="124">
        <f t="shared" si="26"/>
        <v>14403.961324834354</v>
      </c>
      <c r="AA49" s="124">
        <f t="shared" si="24"/>
        <v>34360.221467032476</v>
      </c>
      <c r="AB49" s="124">
        <f t="shared" si="24"/>
        <v>14391.020183111208</v>
      </c>
      <c r="AC49" s="124">
        <f t="shared" si="24"/>
        <v>181.01912180014097</v>
      </c>
      <c r="AD49" s="124">
        <f t="shared" si="24"/>
        <v>33.803830804099114</v>
      </c>
      <c r="AE49" s="124">
        <f t="shared" si="24"/>
        <v>117443.2140724177</v>
      </c>
    </row>
    <row r="50" spans="1:31" x14ac:dyDescent="0.25">
      <c r="A50" t="s">
        <v>441</v>
      </c>
      <c r="B50" s="118"/>
      <c r="C50" s="125">
        <f>'Corporate and Skipjack Alloc 21'!N50</f>
        <v>4556.83</v>
      </c>
      <c r="D50" s="125">
        <f t="shared" si="27"/>
        <v>4556.83</v>
      </c>
      <c r="E50" s="125">
        <f t="shared" si="27"/>
        <v>4556.83</v>
      </c>
      <c r="F50" s="125">
        <f t="shared" si="27"/>
        <v>4556.83</v>
      </c>
      <c r="G50" s="125">
        <f t="shared" si="27"/>
        <v>4556.83</v>
      </c>
      <c r="H50" s="125">
        <f t="shared" si="27"/>
        <v>4556.83</v>
      </c>
      <c r="I50" s="125">
        <f t="shared" si="27"/>
        <v>4556.83</v>
      </c>
      <c r="J50" s="125">
        <f t="shared" si="27"/>
        <v>4556.83</v>
      </c>
      <c r="K50" s="125">
        <f t="shared" si="27"/>
        <v>4556.83</v>
      </c>
      <c r="L50" s="125">
        <f t="shared" si="27"/>
        <v>4556.83</v>
      </c>
      <c r="M50" s="125">
        <f t="shared" si="27"/>
        <v>4556.83</v>
      </c>
      <c r="N50" s="125">
        <f t="shared" si="27"/>
        <v>4556.83</v>
      </c>
      <c r="O50" s="68">
        <f t="shared" si="28"/>
        <v>54681.960000000014</v>
      </c>
      <c r="P50" s="68"/>
      <c r="Q50" s="68"/>
      <c r="R50" s="125"/>
      <c r="S50" s="125"/>
      <c r="T50" s="125"/>
      <c r="U50" s="125"/>
      <c r="V50" s="125"/>
      <c r="W50" s="125"/>
      <c r="X50" s="125"/>
      <c r="Y50" s="125"/>
      <c r="Z50" s="124">
        <f t="shared" si="26"/>
        <v>4356.0794386856815</v>
      </c>
      <c r="AA50" s="124">
        <f t="shared" si="24"/>
        <v>10391.297981560487</v>
      </c>
      <c r="AB50" s="124">
        <f t="shared" si="24"/>
        <v>4352.1657485485021</v>
      </c>
      <c r="AC50" s="124">
        <f t="shared" si="24"/>
        <v>54.744223252182415</v>
      </c>
      <c r="AD50" s="124">
        <f t="shared" si="24"/>
        <v>10.223033024995937</v>
      </c>
      <c r="AE50" s="124">
        <f t="shared" si="24"/>
        <v>35517.449574928163</v>
      </c>
    </row>
    <row r="51" spans="1:31" x14ac:dyDescent="0.25">
      <c r="A51" s="116" t="s">
        <v>461</v>
      </c>
      <c r="B51" s="120"/>
      <c r="C51" s="155">
        <f t="shared" ref="C51:P51" si="29">SUM(C52:C53)</f>
        <v>5732.77</v>
      </c>
      <c r="D51" s="155">
        <f t="shared" si="29"/>
        <v>5732.77</v>
      </c>
      <c r="E51" s="155">
        <f t="shared" ref="E51:N51" si="30">SUM(E52:E53)</f>
        <v>5732.77</v>
      </c>
      <c r="F51" s="155">
        <f t="shared" si="30"/>
        <v>5732.77</v>
      </c>
      <c r="G51" s="155">
        <f t="shared" si="30"/>
        <v>5732.77</v>
      </c>
      <c r="H51" s="155">
        <f t="shared" si="30"/>
        <v>5732.77</v>
      </c>
      <c r="I51" s="155">
        <f t="shared" si="30"/>
        <v>5732.77</v>
      </c>
      <c r="J51" s="155">
        <f t="shared" si="30"/>
        <v>5732.77</v>
      </c>
      <c r="K51" s="155">
        <f t="shared" si="30"/>
        <v>5732.77</v>
      </c>
      <c r="L51" s="155">
        <f t="shared" si="30"/>
        <v>5732.77</v>
      </c>
      <c r="M51" s="155">
        <f t="shared" si="30"/>
        <v>5732.77</v>
      </c>
      <c r="N51" s="155">
        <f t="shared" si="30"/>
        <v>5732.77</v>
      </c>
      <c r="O51" s="117">
        <f t="shared" si="29"/>
        <v>68793.24000000002</v>
      </c>
      <c r="P51" s="117">
        <f t="shared" si="29"/>
        <v>0</v>
      </c>
      <c r="Q51" s="68"/>
      <c r="R51" s="125"/>
      <c r="S51" s="125"/>
      <c r="T51" s="125"/>
      <c r="U51" s="125"/>
      <c r="V51" s="125"/>
      <c r="W51" s="125"/>
      <c r="X51" s="125"/>
      <c r="Y51" s="125"/>
      <c r="Z51" s="126">
        <f t="shared" si="26"/>
        <v>5480.2135527799182</v>
      </c>
      <c r="AA51" s="126">
        <f t="shared" si="24"/>
        <v>13072.886486823189</v>
      </c>
      <c r="AB51" s="126">
        <f t="shared" si="24"/>
        <v>5475.2898919438285</v>
      </c>
      <c r="AC51" s="126">
        <f t="shared" si="24"/>
        <v>68.871570967846893</v>
      </c>
      <c r="AD51" s="126">
        <f t="shared" si="24"/>
        <v>12.861198911240042</v>
      </c>
      <c r="AE51" s="126">
        <f t="shared" si="24"/>
        <v>44683.117298573998</v>
      </c>
    </row>
    <row r="52" spans="1:31" x14ac:dyDescent="0.25">
      <c r="A52" t="s">
        <v>435</v>
      </c>
      <c r="B52" s="118"/>
      <c r="C52" s="125">
        <f>'Corporate and Skipjack Alloc 21'!N52</f>
        <v>49.47</v>
      </c>
      <c r="D52" s="68">
        <f>C52</f>
        <v>49.47</v>
      </c>
      <c r="E52" s="68">
        <f t="shared" ref="E52:N52" si="31">D52</f>
        <v>49.47</v>
      </c>
      <c r="F52" s="68">
        <f t="shared" si="31"/>
        <v>49.47</v>
      </c>
      <c r="G52" s="68">
        <f t="shared" si="31"/>
        <v>49.47</v>
      </c>
      <c r="H52" s="68">
        <f t="shared" si="31"/>
        <v>49.47</v>
      </c>
      <c r="I52" s="68">
        <f t="shared" si="31"/>
        <v>49.47</v>
      </c>
      <c r="J52" s="68">
        <f t="shared" si="31"/>
        <v>49.47</v>
      </c>
      <c r="K52" s="68">
        <f t="shared" si="31"/>
        <v>49.47</v>
      </c>
      <c r="L52" s="68">
        <f t="shared" si="31"/>
        <v>49.47</v>
      </c>
      <c r="M52" s="68">
        <f t="shared" si="31"/>
        <v>49.47</v>
      </c>
      <c r="N52" s="68">
        <f t="shared" si="31"/>
        <v>49.47</v>
      </c>
      <c r="O52" s="68">
        <f t="shared" si="28"/>
        <v>593.6400000000001</v>
      </c>
      <c r="P52" s="68"/>
      <c r="Q52" s="68"/>
      <c r="R52" s="125"/>
      <c r="S52" s="125"/>
      <c r="T52" s="125"/>
      <c r="U52" s="125"/>
      <c r="V52" s="125"/>
      <c r="W52" s="125"/>
      <c r="X52" s="125"/>
      <c r="Y52" s="125"/>
      <c r="Z52" s="124">
        <f t="shared" si="26"/>
        <v>47.290605493683245</v>
      </c>
      <c r="AA52" s="124">
        <f t="shared" si="24"/>
        <v>112.81033331236785</v>
      </c>
      <c r="AB52" s="124">
        <f t="shared" si="24"/>
        <v>47.24811756872527</v>
      </c>
      <c r="AC52" s="124">
        <f t="shared" si="24"/>
        <v>0.59431594426069523</v>
      </c>
      <c r="AD52" s="124">
        <f t="shared" si="24"/>
        <v>0.11098361004175028</v>
      </c>
      <c r="AE52" s="124">
        <f t="shared" si="24"/>
        <v>385.58564407092126</v>
      </c>
    </row>
    <row r="53" spans="1:31" x14ac:dyDescent="0.25">
      <c r="A53" t="s">
        <v>441</v>
      </c>
      <c r="B53" s="118"/>
      <c r="C53" s="125">
        <f>'Corporate and Skipjack Alloc 21'!N53</f>
        <v>5683.3</v>
      </c>
      <c r="D53" s="68">
        <f>C53</f>
        <v>5683.3</v>
      </c>
      <c r="E53" s="68">
        <f t="shared" ref="E53:N53" si="32">D53</f>
        <v>5683.3</v>
      </c>
      <c r="F53" s="68">
        <f t="shared" si="32"/>
        <v>5683.3</v>
      </c>
      <c r="G53" s="68">
        <f t="shared" si="32"/>
        <v>5683.3</v>
      </c>
      <c r="H53" s="68">
        <f t="shared" si="32"/>
        <v>5683.3</v>
      </c>
      <c r="I53" s="68">
        <f t="shared" si="32"/>
        <v>5683.3</v>
      </c>
      <c r="J53" s="68">
        <f t="shared" si="32"/>
        <v>5683.3</v>
      </c>
      <c r="K53" s="68">
        <f t="shared" si="32"/>
        <v>5683.3</v>
      </c>
      <c r="L53" s="68">
        <f t="shared" si="32"/>
        <v>5683.3</v>
      </c>
      <c r="M53" s="68">
        <f t="shared" si="32"/>
        <v>5683.3</v>
      </c>
      <c r="N53" s="68">
        <f t="shared" si="32"/>
        <v>5683.3</v>
      </c>
      <c r="O53" s="68">
        <f t="shared" si="28"/>
        <v>68199.60000000002</v>
      </c>
      <c r="P53" s="68"/>
      <c r="Q53" s="68"/>
      <c r="R53" s="125"/>
      <c r="S53" s="125"/>
      <c r="T53" s="125"/>
      <c r="U53" s="125"/>
      <c r="V53" s="125"/>
      <c r="W53" s="125"/>
      <c r="X53" s="125"/>
      <c r="Y53" s="125"/>
      <c r="Z53" s="124">
        <f t="shared" si="26"/>
        <v>5432.9229472862344</v>
      </c>
      <c r="AA53" s="124">
        <f t="shared" si="24"/>
        <v>12960.076153510821</v>
      </c>
      <c r="AB53" s="124">
        <f t="shared" si="24"/>
        <v>5428.0417743751041</v>
      </c>
      <c r="AC53" s="124">
        <f t="shared" si="24"/>
        <v>68.277255023586207</v>
      </c>
      <c r="AD53" s="124">
        <f t="shared" si="24"/>
        <v>12.75021530119829</v>
      </c>
      <c r="AE53" s="124">
        <f t="shared" si="24"/>
        <v>44297.531654503073</v>
      </c>
    </row>
    <row r="54" spans="1:31" ht="15.75" thickBot="1" x14ac:dyDescent="0.3">
      <c r="B54" s="117"/>
      <c r="C54" s="155">
        <f t="shared" ref="C54:O54" si="33">C51+C40</f>
        <v>206115.91626666664</v>
      </c>
      <c r="D54" s="155">
        <f t="shared" si="33"/>
        <v>206115.91626666664</v>
      </c>
      <c r="E54" s="155">
        <f t="shared" ref="E54:N54" si="34">E51+E40</f>
        <v>206255.08293333327</v>
      </c>
      <c r="F54" s="155">
        <f t="shared" si="34"/>
        <v>206255.08293333327</v>
      </c>
      <c r="G54" s="155">
        <f t="shared" si="34"/>
        <v>206255.08293333327</v>
      </c>
      <c r="H54" s="155">
        <f t="shared" si="34"/>
        <v>206842.21596666661</v>
      </c>
      <c r="I54" s="155">
        <f t="shared" si="34"/>
        <v>206842.21596666661</v>
      </c>
      <c r="J54" s="155">
        <f t="shared" si="34"/>
        <v>206842.21596666661</v>
      </c>
      <c r="K54" s="155">
        <f t="shared" si="34"/>
        <v>206842.21596666661</v>
      </c>
      <c r="L54" s="155">
        <f t="shared" si="34"/>
        <v>206842.21596666661</v>
      </c>
      <c r="M54" s="155">
        <f t="shared" si="34"/>
        <v>206842.21596666661</v>
      </c>
      <c r="N54" s="155">
        <f t="shared" si="34"/>
        <v>212014.57614999995</v>
      </c>
      <c r="O54" s="117">
        <f t="shared" si="33"/>
        <v>2484064.9532833332</v>
      </c>
      <c r="P54" s="118"/>
      <c r="Q54" s="118"/>
      <c r="R54" s="125"/>
      <c r="S54" s="125"/>
      <c r="T54" s="125"/>
      <c r="U54" s="125"/>
      <c r="V54" s="125"/>
      <c r="W54" s="125"/>
      <c r="X54" s="125"/>
      <c r="Y54" s="125"/>
      <c r="Z54" s="129">
        <f t="shared" si="26"/>
        <v>197885.81585878108</v>
      </c>
      <c r="AA54" s="129">
        <f t="shared" si="24"/>
        <v>472050.72998696897</v>
      </c>
      <c r="AB54" s="129">
        <f t="shared" si="24"/>
        <v>197708.02668465898</v>
      </c>
      <c r="AC54" s="129">
        <f t="shared" si="24"/>
        <v>2486.893417417094</v>
      </c>
      <c r="AD54" s="129">
        <f t="shared" si="24"/>
        <v>464.40687300986463</v>
      </c>
      <c r="AE54" s="129">
        <f t="shared" si="24"/>
        <v>1613469.0804624972</v>
      </c>
    </row>
    <row r="55" spans="1:31" ht="16.5" thickTop="1" x14ac:dyDescent="0.25">
      <c r="A55" s="112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25"/>
      <c r="S55" s="125"/>
      <c r="T55" s="125"/>
      <c r="U55" s="125"/>
      <c r="V55" s="125"/>
      <c r="W55" s="125"/>
      <c r="X55" s="125"/>
      <c r="Y55" s="125"/>
      <c r="Z55" s="130" t="s">
        <v>462</v>
      </c>
      <c r="AA55" s="124"/>
      <c r="AB55" s="124"/>
      <c r="AC55" s="124"/>
      <c r="AD55" s="124"/>
      <c r="AE55" s="124"/>
    </row>
    <row r="56" spans="1:31" x14ac:dyDescent="0.25">
      <c r="A56" s="116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18"/>
      <c r="Q56" s="118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</row>
    <row r="57" spans="1:31" x14ac:dyDescent="0.25">
      <c r="A57" s="162" t="s">
        <v>503</v>
      </c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</row>
    <row r="58" spans="1:31" x14ac:dyDescent="0.25">
      <c r="A58" s="163" t="s">
        <v>504</v>
      </c>
      <c r="B58" s="164" t="s">
        <v>505</v>
      </c>
      <c r="C58" s="118">
        <f>C42</f>
        <v>21615.870000000003</v>
      </c>
      <c r="D58" s="118">
        <f t="shared" ref="D58:O59" si="35">D42</f>
        <v>21615.870000000003</v>
      </c>
      <c r="E58" s="118">
        <f t="shared" si="35"/>
        <v>21615.870000000003</v>
      </c>
      <c r="F58" s="118">
        <f t="shared" si="35"/>
        <v>21615.870000000003</v>
      </c>
      <c r="G58" s="118">
        <f t="shared" si="35"/>
        <v>21615.870000000003</v>
      </c>
      <c r="H58" s="118">
        <f t="shared" si="35"/>
        <v>21615.870000000003</v>
      </c>
      <c r="I58" s="118">
        <f t="shared" si="35"/>
        <v>21615.870000000003</v>
      </c>
      <c r="J58" s="118">
        <f t="shared" si="35"/>
        <v>21615.870000000003</v>
      </c>
      <c r="K58" s="118">
        <f t="shared" si="35"/>
        <v>21615.870000000003</v>
      </c>
      <c r="L58" s="118">
        <f t="shared" si="35"/>
        <v>21615.870000000003</v>
      </c>
      <c r="M58" s="118">
        <f t="shared" si="35"/>
        <v>21615.870000000003</v>
      </c>
      <c r="N58" s="118">
        <f t="shared" si="35"/>
        <v>21615.870000000003</v>
      </c>
      <c r="O58" s="118">
        <f t="shared" si="35"/>
        <v>259390.43999999997</v>
      </c>
      <c r="P58" s="118"/>
      <c r="Q58" s="118"/>
      <c r="R58" s="118"/>
    </row>
    <row r="59" spans="1:31" x14ac:dyDescent="0.25">
      <c r="A59" s="163">
        <v>3901</v>
      </c>
      <c r="B59" s="164" t="s">
        <v>506</v>
      </c>
      <c r="C59" s="118">
        <f>C43</f>
        <v>3549.02</v>
      </c>
      <c r="D59" s="118">
        <f t="shared" si="35"/>
        <v>3549.02</v>
      </c>
      <c r="E59" s="118">
        <f t="shared" si="35"/>
        <v>3549.02</v>
      </c>
      <c r="F59" s="118">
        <f t="shared" si="35"/>
        <v>3549.02</v>
      </c>
      <c r="G59" s="118">
        <f t="shared" si="35"/>
        <v>3549.02</v>
      </c>
      <c r="H59" s="118">
        <f t="shared" si="35"/>
        <v>3549.02</v>
      </c>
      <c r="I59" s="118">
        <f t="shared" si="35"/>
        <v>3549.02</v>
      </c>
      <c r="J59" s="118">
        <f t="shared" si="35"/>
        <v>3549.02</v>
      </c>
      <c r="K59" s="118">
        <f t="shared" si="35"/>
        <v>3549.02</v>
      </c>
      <c r="L59" s="118">
        <f t="shared" si="35"/>
        <v>3549.02</v>
      </c>
      <c r="M59" s="118">
        <f t="shared" si="35"/>
        <v>3549.02</v>
      </c>
      <c r="N59" s="118">
        <f t="shared" si="35"/>
        <v>3549.02</v>
      </c>
      <c r="O59" s="118">
        <f t="shared" si="35"/>
        <v>42588.239999999991</v>
      </c>
      <c r="P59" s="118"/>
      <c r="Q59" s="118"/>
      <c r="R59" s="118"/>
    </row>
    <row r="60" spans="1:31" x14ac:dyDescent="0.25">
      <c r="A60" s="165">
        <v>3910</v>
      </c>
      <c r="B60" s="166" t="s">
        <v>507</v>
      </c>
      <c r="C60" s="118">
        <f>C44+C52</f>
        <v>10536.949999999997</v>
      </c>
      <c r="D60" s="118">
        <f t="shared" ref="D60:O60" si="36">D44+D52</f>
        <v>10536.949999999997</v>
      </c>
      <c r="E60" s="118">
        <f t="shared" si="36"/>
        <v>10536.949999999997</v>
      </c>
      <c r="F60" s="118">
        <f t="shared" si="36"/>
        <v>10536.949999999997</v>
      </c>
      <c r="G60" s="118">
        <f t="shared" si="36"/>
        <v>10536.949999999997</v>
      </c>
      <c r="H60" s="118">
        <f t="shared" si="36"/>
        <v>10536.949999999997</v>
      </c>
      <c r="I60" s="118">
        <f t="shared" si="36"/>
        <v>10536.949999999997</v>
      </c>
      <c r="J60" s="118">
        <f t="shared" si="36"/>
        <v>10536.949999999997</v>
      </c>
      <c r="K60" s="118">
        <f t="shared" si="36"/>
        <v>10536.949999999997</v>
      </c>
      <c r="L60" s="118">
        <f t="shared" si="36"/>
        <v>10536.949999999997</v>
      </c>
      <c r="M60" s="118">
        <f t="shared" si="36"/>
        <v>10536.949999999997</v>
      </c>
      <c r="N60" s="118">
        <f t="shared" si="36"/>
        <v>10536.949999999997</v>
      </c>
      <c r="O60" s="118">
        <f t="shared" si="36"/>
        <v>126443.39999999997</v>
      </c>
      <c r="P60" s="118"/>
      <c r="Q60" s="118"/>
      <c r="R60" s="118"/>
    </row>
    <row r="61" spans="1:31" x14ac:dyDescent="0.25">
      <c r="A61" s="165">
        <v>3911</v>
      </c>
      <c r="B61" s="164" t="s">
        <v>508</v>
      </c>
      <c r="C61" s="118">
        <f>C45</f>
        <v>65613.72626666665</v>
      </c>
      <c r="D61" s="118">
        <f t="shared" ref="D61:O61" si="37">D45</f>
        <v>65613.72626666665</v>
      </c>
      <c r="E61" s="118">
        <f t="shared" si="37"/>
        <v>65752.892933333322</v>
      </c>
      <c r="F61" s="118">
        <f t="shared" si="37"/>
        <v>65752.892933333322</v>
      </c>
      <c r="G61" s="118">
        <f t="shared" si="37"/>
        <v>65752.892933333322</v>
      </c>
      <c r="H61" s="118">
        <f t="shared" si="37"/>
        <v>66340.025966666653</v>
      </c>
      <c r="I61" s="118">
        <f t="shared" si="37"/>
        <v>66340.025966666653</v>
      </c>
      <c r="J61" s="118">
        <f t="shared" si="37"/>
        <v>66340.025966666653</v>
      </c>
      <c r="K61" s="118">
        <f t="shared" si="37"/>
        <v>66340.025966666653</v>
      </c>
      <c r="L61" s="118">
        <f t="shared" si="37"/>
        <v>66340.025966666653</v>
      </c>
      <c r="M61" s="118">
        <f t="shared" si="37"/>
        <v>66340.025966666653</v>
      </c>
      <c r="N61" s="118">
        <f t="shared" si="37"/>
        <v>71512.386149999991</v>
      </c>
      <c r="O61" s="118">
        <f t="shared" si="37"/>
        <v>798038.67328333308</v>
      </c>
      <c r="P61" s="118"/>
      <c r="Q61" s="118"/>
      <c r="R61" s="118"/>
    </row>
    <row r="62" spans="1:31" x14ac:dyDescent="0.25">
      <c r="A62" s="165">
        <v>3912</v>
      </c>
      <c r="B62" s="166" t="s">
        <v>509</v>
      </c>
      <c r="C62" s="118">
        <f>C46+C49</f>
        <v>28065.58</v>
      </c>
      <c r="D62" s="118">
        <f t="shared" ref="D62:O62" si="38">D46+D49</f>
        <v>28065.58</v>
      </c>
      <c r="E62" s="118">
        <f t="shared" si="38"/>
        <v>28065.58</v>
      </c>
      <c r="F62" s="118">
        <f t="shared" si="38"/>
        <v>28065.58</v>
      </c>
      <c r="G62" s="118">
        <f t="shared" si="38"/>
        <v>28065.58</v>
      </c>
      <c r="H62" s="118">
        <f t="shared" si="38"/>
        <v>28065.58</v>
      </c>
      <c r="I62" s="118">
        <f t="shared" si="38"/>
        <v>28065.58</v>
      </c>
      <c r="J62" s="118">
        <f t="shared" si="38"/>
        <v>28065.58</v>
      </c>
      <c r="K62" s="118">
        <f t="shared" si="38"/>
        <v>28065.58</v>
      </c>
      <c r="L62" s="118">
        <f t="shared" si="38"/>
        <v>28065.58</v>
      </c>
      <c r="M62" s="118">
        <f t="shared" si="38"/>
        <v>28065.58</v>
      </c>
      <c r="N62" s="118">
        <f t="shared" si="38"/>
        <v>28065.58</v>
      </c>
      <c r="O62" s="118">
        <f t="shared" si="38"/>
        <v>336786.95999999996</v>
      </c>
      <c r="P62" s="118"/>
      <c r="Q62" s="118"/>
      <c r="R62" s="118"/>
    </row>
    <row r="63" spans="1:31" x14ac:dyDescent="0.25">
      <c r="A63" s="165">
        <v>3913</v>
      </c>
      <c r="B63" s="166" t="s">
        <v>510</v>
      </c>
      <c r="C63" s="118">
        <f>C47</f>
        <v>1595.98</v>
      </c>
      <c r="D63" s="118">
        <f t="shared" ref="D63:O64" si="39">D47</f>
        <v>1595.98</v>
      </c>
      <c r="E63" s="118">
        <f t="shared" si="39"/>
        <v>1595.98</v>
      </c>
      <c r="F63" s="118">
        <f t="shared" si="39"/>
        <v>1595.98</v>
      </c>
      <c r="G63" s="118">
        <f t="shared" si="39"/>
        <v>1595.98</v>
      </c>
      <c r="H63" s="118">
        <f t="shared" si="39"/>
        <v>1595.98</v>
      </c>
      <c r="I63" s="118">
        <f t="shared" si="39"/>
        <v>1595.98</v>
      </c>
      <c r="J63" s="118">
        <f t="shared" si="39"/>
        <v>1595.98</v>
      </c>
      <c r="K63" s="118">
        <f t="shared" si="39"/>
        <v>1595.98</v>
      </c>
      <c r="L63" s="118">
        <f t="shared" si="39"/>
        <v>1595.98</v>
      </c>
      <c r="M63" s="118">
        <f t="shared" si="39"/>
        <v>1595.98</v>
      </c>
      <c r="N63" s="118">
        <f t="shared" si="39"/>
        <v>1595.98</v>
      </c>
      <c r="O63" s="118">
        <f t="shared" si="39"/>
        <v>19151.759999999998</v>
      </c>
      <c r="P63" s="118"/>
      <c r="Q63" s="118"/>
      <c r="R63" s="118"/>
    </row>
    <row r="64" spans="1:31" x14ac:dyDescent="0.25">
      <c r="A64" s="165">
        <v>3914</v>
      </c>
      <c r="B64" s="166" t="s">
        <v>511</v>
      </c>
      <c r="C64" s="118">
        <f>C48</f>
        <v>64898.66</v>
      </c>
      <c r="D64" s="118">
        <f t="shared" si="39"/>
        <v>64898.66</v>
      </c>
      <c r="E64" s="118">
        <f t="shared" si="39"/>
        <v>64898.66</v>
      </c>
      <c r="F64" s="118">
        <f t="shared" si="39"/>
        <v>64898.66</v>
      </c>
      <c r="G64" s="118">
        <f t="shared" si="39"/>
        <v>64898.66</v>
      </c>
      <c r="H64" s="118">
        <f t="shared" si="39"/>
        <v>64898.66</v>
      </c>
      <c r="I64" s="118">
        <f t="shared" si="39"/>
        <v>64898.66</v>
      </c>
      <c r="J64" s="118">
        <f t="shared" si="39"/>
        <v>64898.66</v>
      </c>
      <c r="K64" s="118">
        <f t="shared" si="39"/>
        <v>64898.66</v>
      </c>
      <c r="L64" s="118">
        <f t="shared" si="39"/>
        <v>64898.66</v>
      </c>
      <c r="M64" s="118">
        <f t="shared" si="39"/>
        <v>64898.66</v>
      </c>
      <c r="N64" s="118">
        <f t="shared" si="39"/>
        <v>64898.66</v>
      </c>
      <c r="O64" s="118">
        <f t="shared" si="39"/>
        <v>778783.92000000027</v>
      </c>
      <c r="P64" s="118"/>
      <c r="Q64" s="118"/>
      <c r="R64" s="118"/>
    </row>
    <row r="65" spans="1:31" x14ac:dyDescent="0.25">
      <c r="A65" s="165" t="s">
        <v>512</v>
      </c>
      <c r="B65" s="166" t="s">
        <v>513</v>
      </c>
      <c r="C65" s="118">
        <f>C50+C53</f>
        <v>10240.130000000001</v>
      </c>
      <c r="D65" s="118">
        <f t="shared" ref="D65:O65" si="40">D50+D53</f>
        <v>10240.130000000001</v>
      </c>
      <c r="E65" s="118">
        <f t="shared" si="40"/>
        <v>10240.130000000001</v>
      </c>
      <c r="F65" s="118">
        <f t="shared" si="40"/>
        <v>10240.130000000001</v>
      </c>
      <c r="G65" s="118">
        <f t="shared" si="40"/>
        <v>10240.130000000001</v>
      </c>
      <c r="H65" s="118">
        <f t="shared" si="40"/>
        <v>10240.130000000001</v>
      </c>
      <c r="I65" s="118">
        <f t="shared" si="40"/>
        <v>10240.130000000001</v>
      </c>
      <c r="J65" s="118">
        <f t="shared" si="40"/>
        <v>10240.130000000001</v>
      </c>
      <c r="K65" s="118">
        <f t="shared" si="40"/>
        <v>10240.130000000001</v>
      </c>
      <c r="L65" s="118">
        <f t="shared" si="40"/>
        <v>10240.130000000001</v>
      </c>
      <c r="M65" s="118">
        <f t="shared" si="40"/>
        <v>10240.130000000001</v>
      </c>
      <c r="N65" s="118">
        <f t="shared" si="40"/>
        <v>10240.130000000001</v>
      </c>
      <c r="O65" s="118">
        <f t="shared" si="40"/>
        <v>122881.56000000003</v>
      </c>
      <c r="P65" s="118"/>
      <c r="Q65" s="118"/>
      <c r="R65" s="118"/>
    </row>
    <row r="66" spans="1:31" x14ac:dyDescent="0.25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</row>
    <row r="67" spans="1:31" x14ac:dyDescent="0.25">
      <c r="A67" s="116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</row>
    <row r="68" spans="1:31" x14ac:dyDescent="0.25"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</row>
    <row r="69" spans="1:31" x14ac:dyDescent="0.25"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</row>
    <row r="70" spans="1:31" x14ac:dyDescent="0.25">
      <c r="A70" s="116"/>
      <c r="B70" s="116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</row>
  </sheetData>
  <pageMargins left="0.7" right="0.7" top="0.75" bottom="0.75" header="0.3" footer="0.3"/>
  <pageSetup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70"/>
  <sheetViews>
    <sheetView zoomScale="85" zoomScaleNormal="85" workbookViewId="0">
      <pane xSplit="1" ySplit="5" topLeftCell="E6" activePane="bottomRight" state="frozen"/>
      <selection pane="topRight" activeCell="B1" sqref="B1"/>
      <selection pane="bottomLeft" activeCell="A6" sqref="A6"/>
      <selection pane="bottomRight" activeCell="C59" sqref="C59"/>
    </sheetView>
  </sheetViews>
  <sheetFormatPr defaultRowHeight="15" x14ac:dyDescent="0.25"/>
  <cols>
    <col min="1" max="1" width="61.7109375" bestFit="1" customWidth="1"/>
    <col min="2" max="2" width="20.7109375" customWidth="1"/>
    <col min="3" max="14" width="11.28515625" bestFit="1" customWidth="1"/>
    <col min="15" max="15" width="11.5703125" bestFit="1" customWidth="1"/>
    <col min="16" max="16" width="4.7109375" bestFit="1" customWidth="1"/>
    <col min="17" max="17" width="12.7109375" bestFit="1" customWidth="1"/>
    <col min="18" max="18" width="13.28515625" bestFit="1" customWidth="1"/>
    <col min="19" max="19" width="12.140625" customWidth="1"/>
    <col min="20" max="20" width="11.42578125" customWidth="1"/>
    <col min="21" max="21" width="8.85546875" customWidth="1"/>
    <col min="22" max="22" width="8.42578125" bestFit="1" customWidth="1"/>
    <col min="23" max="23" width="12.140625" customWidth="1"/>
    <col min="25" max="25" width="8.42578125" bestFit="1" customWidth="1"/>
    <col min="26" max="28" width="11.42578125" bestFit="1" customWidth="1"/>
    <col min="29" max="29" width="9.28515625" bestFit="1" customWidth="1"/>
    <col min="30" max="30" width="8.42578125" bestFit="1" customWidth="1"/>
    <col min="31" max="31" width="11.85546875" bestFit="1" customWidth="1"/>
  </cols>
  <sheetData>
    <row r="1" spans="1:31" ht="15.75" x14ac:dyDescent="0.25">
      <c r="A1" s="112" t="s">
        <v>450</v>
      </c>
      <c r="Q1" s="4"/>
      <c r="R1" s="113" t="s">
        <v>2</v>
      </c>
      <c r="S1" s="4"/>
      <c r="T1" s="4"/>
      <c r="U1" s="4"/>
      <c r="V1" s="4"/>
      <c r="W1" s="4"/>
      <c r="X1" s="4"/>
      <c r="Y1" s="4" t="s">
        <v>1</v>
      </c>
      <c r="Z1" s="4" t="s">
        <v>3</v>
      </c>
      <c r="AA1" s="4"/>
      <c r="AB1" s="4"/>
      <c r="AC1" s="4"/>
      <c r="AD1" s="4"/>
      <c r="AE1" s="4"/>
    </row>
    <row r="2" spans="1:31" x14ac:dyDescent="0.25">
      <c r="Q2" s="4" t="s">
        <v>5</v>
      </c>
      <c r="R2" s="4" t="s">
        <v>6</v>
      </c>
      <c r="S2" s="4" t="s">
        <v>7</v>
      </c>
      <c r="T2" s="4" t="s">
        <v>8</v>
      </c>
      <c r="U2" s="4" t="s">
        <v>9</v>
      </c>
      <c r="V2" s="4" t="s">
        <v>10</v>
      </c>
      <c r="W2" s="4" t="s">
        <v>11</v>
      </c>
      <c r="X2" s="4"/>
      <c r="Y2" s="4" t="s">
        <v>5</v>
      </c>
      <c r="Z2" s="4" t="s">
        <v>6</v>
      </c>
      <c r="AA2" s="4" t="s">
        <v>7</v>
      </c>
      <c r="AB2" s="4" t="s">
        <v>8</v>
      </c>
      <c r="AC2" s="4" t="s">
        <v>9</v>
      </c>
      <c r="AD2" s="4" t="s">
        <v>10</v>
      </c>
      <c r="AE2" s="4" t="s">
        <v>11</v>
      </c>
    </row>
    <row r="3" spans="1:31" x14ac:dyDescent="0.25">
      <c r="Q3" s="4" t="s">
        <v>451</v>
      </c>
      <c r="R3" s="104">
        <f>'[1]Common Plant Allocation Factors'!C24</f>
        <v>7.9662094019411156E-2</v>
      </c>
      <c r="S3" s="104">
        <f>'[1]Common Plant Allocation Factors'!E24</f>
        <v>0.19003155668817437</v>
      </c>
      <c r="T3" s="104">
        <f>'[1]Common Plant Allocation Factors'!B24</f>
        <v>7.9590522149324952E-2</v>
      </c>
      <c r="U3" s="104">
        <f>'[1]Common Plant Allocation Factors'!D24</f>
        <v>1.0011386433877352E-3</v>
      </c>
      <c r="V3" s="104">
        <f>'[1]Common Plant Allocation Factors'!F24</f>
        <v>1.869544000433769E-4</v>
      </c>
      <c r="W3" s="104">
        <f>'[1]Common Plant Allocation Factors'!G24</f>
        <v>0.64952773409965836</v>
      </c>
      <c r="X3" s="4"/>
      <c r="Y3" s="4" t="s">
        <v>452</v>
      </c>
      <c r="Z3" s="104">
        <f>R3</f>
        <v>7.9662094019411156E-2</v>
      </c>
      <c r="AA3" s="104">
        <f t="shared" ref="AA3:AE3" si="0">S3</f>
        <v>0.19003155668817437</v>
      </c>
      <c r="AB3" s="104">
        <f t="shared" si="0"/>
        <v>7.9590522149324952E-2</v>
      </c>
      <c r="AC3" s="104">
        <f t="shared" si="0"/>
        <v>1.0011386433877352E-3</v>
      </c>
      <c r="AD3" s="104">
        <f t="shared" si="0"/>
        <v>1.869544000433769E-4</v>
      </c>
      <c r="AE3" s="104">
        <f t="shared" si="0"/>
        <v>0.64952773409965836</v>
      </c>
    </row>
    <row r="4" spans="1:31" x14ac:dyDescent="0.25"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26.25" x14ac:dyDescent="0.25">
      <c r="A5" s="112" t="s">
        <v>453</v>
      </c>
      <c r="B5" s="114">
        <v>44915</v>
      </c>
      <c r="C5" s="114">
        <v>44582</v>
      </c>
      <c r="D5" s="114">
        <v>44613</v>
      </c>
      <c r="E5" s="114">
        <v>44641</v>
      </c>
      <c r="F5" s="114">
        <v>44672</v>
      </c>
      <c r="G5" s="114">
        <v>44702</v>
      </c>
      <c r="H5" s="114">
        <v>44733</v>
      </c>
      <c r="I5" s="114">
        <v>44763</v>
      </c>
      <c r="J5" s="114">
        <v>44794</v>
      </c>
      <c r="K5" s="114">
        <v>44825</v>
      </c>
      <c r="L5" s="114">
        <v>44855</v>
      </c>
      <c r="M5" s="114">
        <v>44886</v>
      </c>
      <c r="N5" s="114">
        <v>44916</v>
      </c>
      <c r="O5" s="115" t="s">
        <v>12</v>
      </c>
      <c r="Q5" s="4"/>
      <c r="R5" s="6"/>
      <c r="S5" s="6"/>
      <c r="T5" s="6"/>
      <c r="U5" s="6"/>
      <c r="V5" s="6"/>
      <c r="W5" s="6"/>
      <c r="X5" s="4"/>
      <c r="Y5" s="4"/>
      <c r="Z5" s="6"/>
      <c r="AA5" s="6"/>
      <c r="AB5" s="6"/>
      <c r="AC5" s="6"/>
      <c r="AD5" s="6"/>
      <c r="AE5" s="6"/>
    </row>
    <row r="6" spans="1:31" x14ac:dyDescent="0.25">
      <c r="A6" s="116" t="s">
        <v>454</v>
      </c>
      <c r="B6" s="117">
        <f>'CU and Skipjack 22'!N6</f>
        <v>17673214.289999999</v>
      </c>
      <c r="C6" s="117">
        <f t="shared" ref="C6:O6" si="1">SUM(C7:C16)</f>
        <v>17673214.289999999</v>
      </c>
      <c r="D6" s="117">
        <f t="shared" si="1"/>
        <v>18873214.289999999</v>
      </c>
      <c r="E6" s="117">
        <f t="shared" si="1"/>
        <v>18873214.289999999</v>
      </c>
      <c r="F6" s="117">
        <f t="shared" si="1"/>
        <v>18873214.289999999</v>
      </c>
      <c r="G6" s="117">
        <f t="shared" si="1"/>
        <v>18873214.289999999</v>
      </c>
      <c r="H6" s="117">
        <f t="shared" si="1"/>
        <v>19873214.289999999</v>
      </c>
      <c r="I6" s="117">
        <f t="shared" si="1"/>
        <v>19873214.289999999</v>
      </c>
      <c r="J6" s="117">
        <f t="shared" si="1"/>
        <v>19873214.289999999</v>
      </c>
      <c r="K6" s="117">
        <f t="shared" si="1"/>
        <v>19873214.289999999</v>
      </c>
      <c r="L6" s="117">
        <f t="shared" si="1"/>
        <v>19873214.289999999</v>
      </c>
      <c r="M6" s="117">
        <f t="shared" si="1"/>
        <v>19873214.289999999</v>
      </c>
      <c r="N6" s="117">
        <f t="shared" si="1"/>
        <v>20458214.289999999</v>
      </c>
      <c r="O6" s="117">
        <f t="shared" si="1"/>
        <v>19272060.443846151</v>
      </c>
      <c r="Q6" s="4"/>
      <c r="R6" s="122">
        <f>$O6*R$3</f>
        <v>1535252.6910254469</v>
      </c>
      <c r="S6" s="122">
        <f t="shared" ref="S6:W18" si="2">$O6*S$3</f>
        <v>3662299.6467326726</v>
      </c>
      <c r="T6" s="122">
        <f t="shared" si="2"/>
        <v>1533873.3536190663</v>
      </c>
      <c r="U6" s="122">
        <f t="shared" si="2"/>
        <v>19294.00444803857</v>
      </c>
      <c r="V6" s="122">
        <f t="shared" si="2"/>
        <v>3602.9964978789531</v>
      </c>
      <c r="W6" s="122">
        <f t="shared" si="2"/>
        <v>12517737.751523048</v>
      </c>
      <c r="X6" s="123"/>
      <c r="Y6" s="123"/>
      <c r="Z6" s="122">
        <f>$N6*Z$3</f>
        <v>1629744.1902392409</v>
      </c>
      <c r="AA6" s="122">
        <f t="shared" ref="AA6:AE18" si="3">$N6*AA$3</f>
        <v>3887706.3085889537</v>
      </c>
      <c r="AB6" s="122">
        <f t="shared" si="3"/>
        <v>1628279.9575838812</v>
      </c>
      <c r="AC6" s="122">
        <f t="shared" si="3"/>
        <v>20481.508900426175</v>
      </c>
      <c r="AD6" s="122">
        <f t="shared" si="3"/>
        <v>3824.7531785457895</v>
      </c>
      <c r="AE6" s="122">
        <f t="shared" si="3"/>
        <v>13288177.57150895</v>
      </c>
    </row>
    <row r="7" spans="1:31" x14ac:dyDescent="0.25">
      <c r="A7" t="s">
        <v>455</v>
      </c>
      <c r="B7" s="154">
        <f>'CU and Skipjack 22'!N7</f>
        <v>5966.29</v>
      </c>
      <c r="C7" s="68">
        <f>B7</f>
        <v>5966.29</v>
      </c>
      <c r="D7" s="68">
        <f t="shared" ref="D7:N7" si="4">C7</f>
        <v>5966.29</v>
      </c>
      <c r="E7" s="68">
        <f t="shared" si="4"/>
        <v>5966.29</v>
      </c>
      <c r="F7" s="68">
        <f t="shared" si="4"/>
        <v>5966.29</v>
      </c>
      <c r="G7" s="68">
        <f t="shared" si="4"/>
        <v>5966.29</v>
      </c>
      <c r="H7" s="68">
        <f t="shared" si="4"/>
        <v>5966.29</v>
      </c>
      <c r="I7" s="68">
        <f t="shared" si="4"/>
        <v>5966.29</v>
      </c>
      <c r="J7" s="68">
        <f t="shared" si="4"/>
        <v>5966.29</v>
      </c>
      <c r="K7" s="68">
        <f t="shared" si="4"/>
        <v>5966.29</v>
      </c>
      <c r="L7" s="68">
        <f t="shared" si="4"/>
        <v>5966.29</v>
      </c>
      <c r="M7" s="68">
        <f t="shared" si="4"/>
        <v>5966.29</v>
      </c>
      <c r="N7" s="68">
        <f t="shared" si="4"/>
        <v>5966.29</v>
      </c>
      <c r="O7" s="68">
        <f>SUM(B7:N7)/13</f>
        <v>5966.2899999999991</v>
      </c>
      <c r="R7" s="124">
        <f t="shared" ref="R7:W20" si="5">$O7*R$3</f>
        <v>475.28715492707249</v>
      </c>
      <c r="S7" s="124">
        <f t="shared" si="2"/>
        <v>1133.7833763530878</v>
      </c>
      <c r="T7" s="124">
        <f t="shared" si="2"/>
        <v>474.86013639429592</v>
      </c>
      <c r="U7" s="124">
        <f t="shared" si="2"/>
        <v>5.9730834766578091</v>
      </c>
      <c r="V7" s="124">
        <f t="shared" si="2"/>
        <v>1.1154241674347989</v>
      </c>
      <c r="W7" s="124">
        <f t="shared" si="2"/>
        <v>3875.27082468145</v>
      </c>
      <c r="X7" s="125"/>
      <c r="Y7" s="125"/>
      <c r="Z7" s="124">
        <f t="shared" ref="Z7:AE20" si="6">$N7*Z$3</f>
        <v>475.28715492707261</v>
      </c>
      <c r="AA7" s="124">
        <f t="shared" si="3"/>
        <v>1133.7833763530878</v>
      </c>
      <c r="AB7" s="124">
        <f t="shared" si="3"/>
        <v>474.86013639429598</v>
      </c>
      <c r="AC7" s="124">
        <f t="shared" si="3"/>
        <v>5.97308347665781</v>
      </c>
      <c r="AD7" s="124">
        <f t="shared" si="3"/>
        <v>1.1154241674347991</v>
      </c>
      <c r="AE7" s="124">
        <f t="shared" si="3"/>
        <v>3875.2708246814504</v>
      </c>
    </row>
    <row r="8" spans="1:31" x14ac:dyDescent="0.25">
      <c r="A8" t="s">
        <v>434</v>
      </c>
      <c r="B8" s="154">
        <f>'CU and Skipjack 22'!N8</f>
        <v>5047142.1800000006</v>
      </c>
      <c r="C8" s="68">
        <f t="shared" ref="C8:N16" si="7">B8</f>
        <v>5047142.1800000006</v>
      </c>
      <c r="D8" s="68">
        <f t="shared" si="7"/>
        <v>5047142.1800000006</v>
      </c>
      <c r="E8" s="68">
        <f t="shared" si="7"/>
        <v>5047142.1800000006</v>
      </c>
      <c r="F8" s="68">
        <f t="shared" si="7"/>
        <v>5047142.1800000006</v>
      </c>
      <c r="G8" s="68">
        <f t="shared" si="7"/>
        <v>5047142.1800000006</v>
      </c>
      <c r="H8" s="68">
        <f t="shared" si="7"/>
        <v>5047142.1800000006</v>
      </c>
      <c r="I8" s="68">
        <f t="shared" si="7"/>
        <v>5047142.1800000006</v>
      </c>
      <c r="J8" s="68">
        <f t="shared" si="7"/>
        <v>5047142.1800000006</v>
      </c>
      <c r="K8" s="68">
        <f t="shared" si="7"/>
        <v>5047142.1800000006</v>
      </c>
      <c r="L8" s="68">
        <f t="shared" si="7"/>
        <v>5047142.1800000006</v>
      </c>
      <c r="M8" s="68">
        <f t="shared" si="7"/>
        <v>5047142.1800000006</v>
      </c>
      <c r="N8" s="68">
        <f t="shared" si="7"/>
        <v>5047142.1800000006</v>
      </c>
      <c r="O8" s="68">
        <f t="shared" ref="O8:O19" si="8">SUM(B8:N8)/13</f>
        <v>5047142.1800000006</v>
      </c>
      <c r="R8" s="124">
        <f t="shared" si="5"/>
        <v>402065.91487249581</v>
      </c>
      <c r="S8" s="124">
        <f t="shared" si="2"/>
        <v>959116.28529194603</v>
      </c>
      <c r="T8" s="124">
        <f t="shared" si="2"/>
        <v>401704.6814680823</v>
      </c>
      <c r="U8" s="124">
        <f t="shared" si="2"/>
        <v>5052.8890750702167</v>
      </c>
      <c r="V8" s="124">
        <f t="shared" si="2"/>
        <v>943.58543819552153</v>
      </c>
      <c r="W8" s="124">
        <f t="shared" si="2"/>
        <v>3278258.8238542103</v>
      </c>
      <c r="X8" s="125"/>
      <c r="Y8" s="125"/>
      <c r="Z8" s="124">
        <f t="shared" si="6"/>
        <v>402065.91487249581</v>
      </c>
      <c r="AA8" s="124">
        <f t="shared" si="3"/>
        <v>959116.28529194603</v>
      </c>
      <c r="AB8" s="124">
        <f t="shared" si="3"/>
        <v>401704.6814680823</v>
      </c>
      <c r="AC8" s="124">
        <f t="shared" si="3"/>
        <v>5052.8890750702167</v>
      </c>
      <c r="AD8" s="124">
        <f t="shared" si="3"/>
        <v>943.58543819552153</v>
      </c>
      <c r="AE8" s="124">
        <f t="shared" si="3"/>
        <v>3278258.8238542103</v>
      </c>
    </row>
    <row r="9" spans="1:31" x14ac:dyDescent="0.25">
      <c r="A9" t="s">
        <v>456</v>
      </c>
      <c r="B9" s="154">
        <f>'CU and Skipjack 22'!N9</f>
        <v>421491.92</v>
      </c>
      <c r="C9" s="68">
        <f t="shared" si="7"/>
        <v>421491.92</v>
      </c>
      <c r="D9" s="68">
        <f t="shared" si="7"/>
        <v>421491.92</v>
      </c>
      <c r="E9" s="68">
        <f t="shared" si="7"/>
        <v>421491.92</v>
      </c>
      <c r="F9" s="68">
        <f t="shared" si="7"/>
        <v>421491.92</v>
      </c>
      <c r="G9" s="68">
        <f t="shared" si="7"/>
        <v>421491.92</v>
      </c>
      <c r="H9" s="68">
        <f t="shared" si="7"/>
        <v>421491.92</v>
      </c>
      <c r="I9" s="68">
        <f t="shared" si="7"/>
        <v>421491.92</v>
      </c>
      <c r="J9" s="68">
        <f t="shared" si="7"/>
        <v>421491.92</v>
      </c>
      <c r="K9" s="68">
        <f t="shared" si="7"/>
        <v>421491.92</v>
      </c>
      <c r="L9" s="68">
        <f t="shared" si="7"/>
        <v>421491.92</v>
      </c>
      <c r="M9" s="68">
        <f t="shared" si="7"/>
        <v>421491.92</v>
      </c>
      <c r="N9" s="68">
        <f t="shared" si="7"/>
        <v>421491.92</v>
      </c>
      <c r="O9" s="68">
        <f t="shared" si="8"/>
        <v>421491.92</v>
      </c>
      <c r="R9" s="124">
        <f t="shared" si="5"/>
        <v>33576.928959462122</v>
      </c>
      <c r="S9" s="124">
        <f t="shared" si="2"/>
        <v>80096.76568908745</v>
      </c>
      <c r="T9" s="124">
        <f t="shared" si="2"/>
        <v>33546.761994521497</v>
      </c>
      <c r="U9" s="124">
        <f t="shared" si="2"/>
        <v>421.97184898769177</v>
      </c>
      <c r="V9" s="124">
        <f t="shared" si="2"/>
        <v>78.799769026731013</v>
      </c>
      <c r="W9" s="124">
        <f t="shared" si="2"/>
        <v>273770.69173891447</v>
      </c>
      <c r="X9" s="125"/>
      <c r="Y9" s="125"/>
      <c r="Z9" s="124">
        <f t="shared" si="6"/>
        <v>33576.928959462122</v>
      </c>
      <c r="AA9" s="124">
        <f t="shared" si="3"/>
        <v>80096.76568908745</v>
      </c>
      <c r="AB9" s="124">
        <f t="shared" si="3"/>
        <v>33546.761994521497</v>
      </c>
      <c r="AC9" s="124">
        <f t="shared" si="3"/>
        <v>421.97184898769177</v>
      </c>
      <c r="AD9" s="124">
        <f t="shared" si="3"/>
        <v>78.799769026731013</v>
      </c>
      <c r="AE9" s="124">
        <f t="shared" si="3"/>
        <v>273770.69173891447</v>
      </c>
    </row>
    <row r="10" spans="1:31" x14ac:dyDescent="0.25">
      <c r="A10" t="s">
        <v>435</v>
      </c>
      <c r="B10" s="154">
        <f>'CU and Skipjack 22'!N10</f>
        <v>1182442.1100000001</v>
      </c>
      <c r="C10" s="68">
        <f t="shared" si="7"/>
        <v>1182442.1100000001</v>
      </c>
      <c r="D10" s="68">
        <f t="shared" si="7"/>
        <v>1182442.1100000001</v>
      </c>
      <c r="E10" s="68">
        <f t="shared" si="7"/>
        <v>1182442.1100000001</v>
      </c>
      <c r="F10" s="68">
        <f t="shared" si="7"/>
        <v>1182442.1100000001</v>
      </c>
      <c r="G10" s="68">
        <f t="shared" si="7"/>
        <v>1182442.1100000001</v>
      </c>
      <c r="H10" s="68">
        <f t="shared" si="7"/>
        <v>1182442.1100000001</v>
      </c>
      <c r="I10" s="68">
        <f t="shared" si="7"/>
        <v>1182442.1100000001</v>
      </c>
      <c r="J10" s="68">
        <f t="shared" si="7"/>
        <v>1182442.1100000001</v>
      </c>
      <c r="K10" s="68">
        <f t="shared" si="7"/>
        <v>1182442.1100000001</v>
      </c>
      <c r="L10" s="68">
        <f t="shared" si="7"/>
        <v>1182442.1100000001</v>
      </c>
      <c r="M10" s="68">
        <f t="shared" si="7"/>
        <v>1182442.1100000001</v>
      </c>
      <c r="N10" s="68">
        <f t="shared" si="7"/>
        <v>1182442.1100000001</v>
      </c>
      <c r="O10" s="68">
        <f t="shared" si="8"/>
        <v>1182442.1099999999</v>
      </c>
      <c r="R10" s="124">
        <f t="shared" si="5"/>
        <v>94195.814539330895</v>
      </c>
      <c r="S10" s="124">
        <f t="shared" si="2"/>
        <v>224701.3148569495</v>
      </c>
      <c r="T10" s="124">
        <f t="shared" si="2"/>
        <v>94111.184946249516</v>
      </c>
      <c r="U10" s="124">
        <f t="shared" si="2"/>
        <v>1183.788489889931</v>
      </c>
      <c r="V10" s="124">
        <f t="shared" si="2"/>
        <v>221.06275526107464</v>
      </c>
      <c r="W10" s="124">
        <f t="shared" si="2"/>
        <v>768028.94441231887</v>
      </c>
      <c r="X10" s="125"/>
      <c r="Y10" s="125"/>
      <c r="Z10" s="124">
        <f t="shared" si="6"/>
        <v>94195.81453933091</v>
      </c>
      <c r="AA10" s="124">
        <f t="shared" si="3"/>
        <v>224701.31485694952</v>
      </c>
      <c r="AB10" s="124">
        <f t="shared" si="3"/>
        <v>94111.184946249545</v>
      </c>
      <c r="AC10" s="124">
        <f t="shared" si="3"/>
        <v>1183.7884898899313</v>
      </c>
      <c r="AD10" s="124">
        <f t="shared" si="3"/>
        <v>221.0627552610747</v>
      </c>
      <c r="AE10" s="124">
        <f t="shared" si="3"/>
        <v>768028.94441231911</v>
      </c>
    </row>
    <row r="11" spans="1:31" x14ac:dyDescent="0.25">
      <c r="A11" t="s">
        <v>457</v>
      </c>
      <c r="B11" s="154">
        <f>'CU and Skipjack 22'!N11</f>
        <v>6130873.0300000012</v>
      </c>
      <c r="C11" s="68">
        <f t="shared" si="7"/>
        <v>6130873.0300000012</v>
      </c>
      <c r="D11" s="68">
        <f>C11+1200000</f>
        <v>7330873.0300000012</v>
      </c>
      <c r="E11" s="68">
        <f t="shared" si="7"/>
        <v>7330873.0300000012</v>
      </c>
      <c r="F11" s="68">
        <f t="shared" si="7"/>
        <v>7330873.0300000012</v>
      </c>
      <c r="G11" s="68">
        <f t="shared" si="7"/>
        <v>7330873.0300000012</v>
      </c>
      <c r="H11" s="68">
        <f>G11+1000000</f>
        <v>8330873.0300000012</v>
      </c>
      <c r="I11" s="68">
        <f t="shared" si="7"/>
        <v>8330873.0300000012</v>
      </c>
      <c r="J11" s="68">
        <f t="shared" si="7"/>
        <v>8330873.0300000012</v>
      </c>
      <c r="K11" s="68">
        <f t="shared" si="7"/>
        <v>8330873.0300000012</v>
      </c>
      <c r="L11" s="68">
        <f t="shared" si="7"/>
        <v>8330873.0300000012</v>
      </c>
      <c r="M11" s="68">
        <f t="shared" si="7"/>
        <v>8330873.0300000012</v>
      </c>
      <c r="N11" s="68">
        <f>M11+585000</f>
        <v>8915873.0300000012</v>
      </c>
      <c r="O11" s="68">
        <f t="shared" si="8"/>
        <v>7729719.1838461552</v>
      </c>
      <c r="R11" s="124">
        <f t="shared" si="5"/>
        <v>615765.61636719853</v>
      </c>
      <c r="S11" s="124">
        <f t="shared" si="2"/>
        <v>1468890.5692687295</v>
      </c>
      <c r="T11" s="124">
        <f t="shared" si="2"/>
        <v>615212.38590996945</v>
      </c>
      <c r="U11" s="124">
        <f t="shared" si="2"/>
        <v>7738.5205774838914</v>
      </c>
      <c r="V11" s="124">
        <f t="shared" si="2"/>
        <v>1445.1050125197389</v>
      </c>
      <c r="W11" s="124">
        <f t="shared" si="2"/>
        <v>5020666.9867102541</v>
      </c>
      <c r="X11" s="125"/>
      <c r="Y11" s="125"/>
      <c r="Z11" s="124">
        <f t="shared" si="6"/>
        <v>710257.11558099231</v>
      </c>
      <c r="AA11" s="124">
        <f t="shared" si="3"/>
        <v>1694297.2311250102</v>
      </c>
      <c r="AB11" s="124">
        <f t="shared" si="3"/>
        <v>709618.98987478402</v>
      </c>
      <c r="AC11" s="124">
        <f t="shared" si="3"/>
        <v>8926.0250298714964</v>
      </c>
      <c r="AD11" s="124">
        <f t="shared" si="3"/>
        <v>1666.8616931865752</v>
      </c>
      <c r="AE11" s="124">
        <f t="shared" si="3"/>
        <v>5791106.806696156</v>
      </c>
    </row>
    <row r="12" spans="1:31" x14ac:dyDescent="0.25">
      <c r="A12" t="s">
        <v>436</v>
      </c>
      <c r="B12" s="154">
        <f>'CU and Skipjack 22'!N12</f>
        <v>871991.45999999973</v>
      </c>
      <c r="C12" s="68">
        <f t="shared" si="7"/>
        <v>871991.45999999973</v>
      </c>
      <c r="D12" s="68">
        <f t="shared" si="7"/>
        <v>871991.45999999973</v>
      </c>
      <c r="E12" s="68">
        <f t="shared" si="7"/>
        <v>871991.45999999973</v>
      </c>
      <c r="F12" s="68">
        <f t="shared" si="7"/>
        <v>871991.45999999973</v>
      </c>
      <c r="G12" s="68">
        <f t="shared" si="7"/>
        <v>871991.45999999973</v>
      </c>
      <c r="H12" s="68">
        <f t="shared" si="7"/>
        <v>871991.45999999973</v>
      </c>
      <c r="I12" s="68">
        <f t="shared" si="7"/>
        <v>871991.45999999973</v>
      </c>
      <c r="J12" s="68">
        <f t="shared" si="7"/>
        <v>871991.45999999973</v>
      </c>
      <c r="K12" s="68">
        <f t="shared" si="7"/>
        <v>871991.45999999973</v>
      </c>
      <c r="L12" s="68">
        <f t="shared" si="7"/>
        <v>871991.45999999973</v>
      </c>
      <c r="M12" s="68">
        <f t="shared" si="7"/>
        <v>871991.45999999973</v>
      </c>
      <c r="N12" s="68">
        <f t="shared" si="7"/>
        <v>871991.45999999973</v>
      </c>
      <c r="O12" s="68">
        <f t="shared" si="8"/>
        <v>871991.45999999961</v>
      </c>
      <c r="R12" s="124">
        <f t="shared" si="5"/>
        <v>69464.665670643575</v>
      </c>
      <c r="S12" s="124">
        <f t="shared" si="2"/>
        <v>165705.89456259386</v>
      </c>
      <c r="T12" s="124">
        <f t="shared" si="2"/>
        <v>69402.25561115217</v>
      </c>
      <c r="U12" s="124">
        <f t="shared" si="2"/>
        <v>872.98434731009013</v>
      </c>
      <c r="V12" s="124">
        <f t="shared" si="2"/>
        <v>163.02264024724821</v>
      </c>
      <c r="W12" s="124">
        <f t="shared" si="2"/>
        <v>566382.63716805261</v>
      </c>
      <c r="X12" s="125"/>
      <c r="Y12" s="125"/>
      <c r="Z12" s="124">
        <f t="shared" si="6"/>
        <v>69464.665670643575</v>
      </c>
      <c r="AA12" s="124">
        <f t="shared" si="3"/>
        <v>165705.89456259389</v>
      </c>
      <c r="AB12" s="124">
        <f t="shared" si="3"/>
        <v>69402.255611152184</v>
      </c>
      <c r="AC12" s="124">
        <f t="shared" si="3"/>
        <v>872.98434731009024</v>
      </c>
      <c r="AD12" s="124">
        <f t="shared" si="3"/>
        <v>163.02264024724823</v>
      </c>
      <c r="AE12" s="124">
        <f t="shared" si="3"/>
        <v>566382.63716805272</v>
      </c>
    </row>
    <row r="13" spans="1:31" x14ac:dyDescent="0.25">
      <c r="A13" t="s">
        <v>437</v>
      </c>
      <c r="B13" s="154">
        <f>'CU and Skipjack 22'!N13</f>
        <v>133969.25</v>
      </c>
      <c r="C13" s="68">
        <f t="shared" si="7"/>
        <v>133969.25</v>
      </c>
      <c r="D13" s="68">
        <f t="shared" si="7"/>
        <v>133969.25</v>
      </c>
      <c r="E13" s="68">
        <f t="shared" si="7"/>
        <v>133969.25</v>
      </c>
      <c r="F13" s="68">
        <f t="shared" si="7"/>
        <v>133969.25</v>
      </c>
      <c r="G13" s="68">
        <f t="shared" si="7"/>
        <v>133969.25</v>
      </c>
      <c r="H13" s="68">
        <f t="shared" si="7"/>
        <v>133969.25</v>
      </c>
      <c r="I13" s="68">
        <f t="shared" si="7"/>
        <v>133969.25</v>
      </c>
      <c r="J13" s="68">
        <f t="shared" si="7"/>
        <v>133969.25</v>
      </c>
      <c r="K13" s="68">
        <f t="shared" si="7"/>
        <v>133969.25</v>
      </c>
      <c r="L13" s="68">
        <f t="shared" si="7"/>
        <v>133969.25</v>
      </c>
      <c r="M13" s="68">
        <f t="shared" si="7"/>
        <v>133969.25</v>
      </c>
      <c r="N13" s="68">
        <f t="shared" si="7"/>
        <v>133969.25</v>
      </c>
      <c r="O13" s="68">
        <f t="shared" si="8"/>
        <v>133969.25</v>
      </c>
      <c r="R13" s="124">
        <f t="shared" si="5"/>
        <v>10672.270989209997</v>
      </c>
      <c r="S13" s="124">
        <f t="shared" si="2"/>
        <v>25458.385125847202</v>
      </c>
      <c r="T13" s="124">
        <f t="shared" si="2"/>
        <v>10662.682559453451</v>
      </c>
      <c r="U13" s="124">
        <f t="shared" si="2"/>
        <v>134.12179320067233</v>
      </c>
      <c r="V13" s="124">
        <f t="shared" si="2"/>
        <v>25.04614075801117</v>
      </c>
      <c r="W13" s="124">
        <f t="shared" si="2"/>
        <v>87016.743391530661</v>
      </c>
      <c r="X13" s="125"/>
      <c r="Y13" s="125"/>
      <c r="Z13" s="124">
        <f t="shared" si="6"/>
        <v>10672.270989209997</v>
      </c>
      <c r="AA13" s="124">
        <f t="shared" si="3"/>
        <v>25458.385125847202</v>
      </c>
      <c r="AB13" s="124">
        <f t="shared" si="3"/>
        <v>10662.682559453451</v>
      </c>
      <c r="AC13" s="124">
        <f t="shared" si="3"/>
        <v>134.12179320067233</v>
      </c>
      <c r="AD13" s="124">
        <f t="shared" si="3"/>
        <v>25.04614075801117</v>
      </c>
      <c r="AE13" s="124">
        <f t="shared" si="3"/>
        <v>87016.743391530661</v>
      </c>
    </row>
    <row r="14" spans="1:31" x14ac:dyDescent="0.25">
      <c r="A14" t="s">
        <v>438</v>
      </c>
      <c r="B14" s="154">
        <f>'CU and Skipjack 22'!N14</f>
        <v>2265779.04</v>
      </c>
      <c r="C14" s="68">
        <f t="shared" si="7"/>
        <v>2265779.04</v>
      </c>
      <c r="D14" s="68">
        <f t="shared" si="7"/>
        <v>2265779.04</v>
      </c>
      <c r="E14" s="68">
        <f t="shared" si="7"/>
        <v>2265779.04</v>
      </c>
      <c r="F14" s="68">
        <f t="shared" si="7"/>
        <v>2265779.04</v>
      </c>
      <c r="G14" s="68">
        <f t="shared" si="7"/>
        <v>2265779.04</v>
      </c>
      <c r="H14" s="68">
        <f t="shared" si="7"/>
        <v>2265779.04</v>
      </c>
      <c r="I14" s="68">
        <f t="shared" si="7"/>
        <v>2265779.04</v>
      </c>
      <c r="J14" s="68">
        <f t="shared" si="7"/>
        <v>2265779.04</v>
      </c>
      <c r="K14" s="68">
        <f t="shared" si="7"/>
        <v>2265779.04</v>
      </c>
      <c r="L14" s="68">
        <f t="shared" si="7"/>
        <v>2265779.04</v>
      </c>
      <c r="M14" s="68">
        <f t="shared" si="7"/>
        <v>2265779.04</v>
      </c>
      <c r="N14" s="68">
        <f t="shared" si="7"/>
        <v>2265779.04</v>
      </c>
      <c r="O14" s="68">
        <f t="shared" si="8"/>
        <v>2265779.0399999996</v>
      </c>
      <c r="R14" s="124">
        <f t="shared" si="5"/>
        <v>180496.70291169113</v>
      </c>
      <c r="S14" s="124">
        <f t="shared" si="2"/>
        <v>430569.51808263722</v>
      </c>
      <c r="T14" s="124">
        <f t="shared" si="2"/>
        <v>180334.53686859619</v>
      </c>
      <c r="U14" s="124">
        <f t="shared" si="2"/>
        <v>2268.3589543219646</v>
      </c>
      <c r="V14" s="124">
        <f t="shared" si="2"/>
        <v>423.59736105405841</v>
      </c>
      <c r="W14" s="124">
        <f t="shared" si="2"/>
        <v>1471686.3258216989</v>
      </c>
      <c r="X14" s="125"/>
      <c r="Y14" s="125"/>
      <c r="Z14" s="124">
        <f t="shared" si="6"/>
        <v>180496.70291169116</v>
      </c>
      <c r="AA14" s="124">
        <f t="shared" si="3"/>
        <v>430569.51808263728</v>
      </c>
      <c r="AB14" s="124">
        <f t="shared" si="3"/>
        <v>180334.53686859622</v>
      </c>
      <c r="AC14" s="124">
        <f t="shared" si="3"/>
        <v>2268.358954321965</v>
      </c>
      <c r="AD14" s="124">
        <f t="shared" si="3"/>
        <v>423.59736105405847</v>
      </c>
      <c r="AE14" s="124">
        <f t="shared" si="3"/>
        <v>1471686.3258216991</v>
      </c>
    </row>
    <row r="15" spans="1:31" x14ac:dyDescent="0.25">
      <c r="A15" t="s">
        <v>458</v>
      </c>
      <c r="B15" s="154">
        <f>'CU and Skipjack 22'!N15</f>
        <v>1244509.3299999998</v>
      </c>
      <c r="C15" s="68">
        <f t="shared" si="7"/>
        <v>1244509.3299999998</v>
      </c>
      <c r="D15" s="68">
        <f t="shared" si="7"/>
        <v>1244509.3299999998</v>
      </c>
      <c r="E15" s="68">
        <f t="shared" si="7"/>
        <v>1244509.3299999998</v>
      </c>
      <c r="F15" s="68">
        <f t="shared" si="7"/>
        <v>1244509.3299999998</v>
      </c>
      <c r="G15" s="68">
        <f t="shared" si="7"/>
        <v>1244509.3299999998</v>
      </c>
      <c r="H15" s="68">
        <f t="shared" si="7"/>
        <v>1244509.3299999998</v>
      </c>
      <c r="I15" s="68">
        <f t="shared" si="7"/>
        <v>1244509.3299999998</v>
      </c>
      <c r="J15" s="68">
        <f t="shared" si="7"/>
        <v>1244509.3299999998</v>
      </c>
      <c r="K15" s="68">
        <f t="shared" si="7"/>
        <v>1244509.3299999998</v>
      </c>
      <c r="L15" s="68">
        <f t="shared" si="7"/>
        <v>1244509.3299999998</v>
      </c>
      <c r="M15" s="68">
        <f t="shared" si="7"/>
        <v>1244509.3299999998</v>
      </c>
      <c r="N15" s="68">
        <f t="shared" si="7"/>
        <v>1244509.3299999998</v>
      </c>
      <c r="O15" s="68">
        <f t="shared" si="8"/>
        <v>1244509.3299999998</v>
      </c>
      <c r="R15" s="124">
        <f t="shared" si="5"/>
        <v>99140.219254494368</v>
      </c>
      <c r="S15" s="124">
        <f t="shared" si="2"/>
        <v>236496.04529285687</v>
      </c>
      <c r="T15" s="124">
        <f t="shared" si="2"/>
        <v>99051.147394406536</v>
      </c>
      <c r="U15" s="124">
        <f t="shared" si="2"/>
        <v>1245.926382319579</v>
      </c>
      <c r="V15" s="124">
        <f t="shared" si="2"/>
        <v>232.66649513853491</v>
      </c>
      <c r="W15" s="124">
        <f t="shared" si="2"/>
        <v>808343.32518078387</v>
      </c>
      <c r="X15" s="125"/>
      <c r="Y15" s="125"/>
      <c r="Z15" s="124">
        <f t="shared" si="6"/>
        <v>99140.219254494368</v>
      </c>
      <c r="AA15" s="124">
        <f t="shared" si="3"/>
        <v>236496.04529285687</v>
      </c>
      <c r="AB15" s="124">
        <f t="shared" si="3"/>
        <v>99051.147394406536</v>
      </c>
      <c r="AC15" s="124">
        <f t="shared" si="3"/>
        <v>1245.926382319579</v>
      </c>
      <c r="AD15" s="124">
        <f t="shared" si="3"/>
        <v>232.66649513853491</v>
      </c>
      <c r="AE15" s="124">
        <f t="shared" si="3"/>
        <v>808343.32518078387</v>
      </c>
    </row>
    <row r="16" spans="1:31" x14ac:dyDescent="0.25">
      <c r="A16" t="s">
        <v>441</v>
      </c>
      <c r="B16" s="154">
        <f>'CU and Skipjack 22'!N16</f>
        <v>369049.68000000005</v>
      </c>
      <c r="C16" s="68">
        <f t="shared" si="7"/>
        <v>369049.68000000005</v>
      </c>
      <c r="D16" s="68">
        <f t="shared" si="7"/>
        <v>369049.68000000005</v>
      </c>
      <c r="E16" s="68">
        <f t="shared" si="7"/>
        <v>369049.68000000005</v>
      </c>
      <c r="F16" s="68">
        <f t="shared" si="7"/>
        <v>369049.68000000005</v>
      </c>
      <c r="G16" s="68">
        <f t="shared" si="7"/>
        <v>369049.68000000005</v>
      </c>
      <c r="H16" s="68">
        <f t="shared" si="7"/>
        <v>369049.68000000005</v>
      </c>
      <c r="I16" s="68">
        <f t="shared" si="7"/>
        <v>369049.68000000005</v>
      </c>
      <c r="J16" s="68">
        <f t="shared" si="7"/>
        <v>369049.68000000005</v>
      </c>
      <c r="K16" s="68">
        <f t="shared" si="7"/>
        <v>369049.68000000005</v>
      </c>
      <c r="L16" s="68">
        <f t="shared" si="7"/>
        <v>369049.68000000005</v>
      </c>
      <c r="M16" s="68">
        <f t="shared" si="7"/>
        <v>369049.68000000005</v>
      </c>
      <c r="N16" s="68">
        <f t="shared" si="7"/>
        <v>369049.68000000005</v>
      </c>
      <c r="O16" s="68">
        <f t="shared" si="8"/>
        <v>369049.68000000005</v>
      </c>
      <c r="R16" s="124">
        <f t="shared" si="5"/>
        <v>29399.270305993607</v>
      </c>
      <c r="S16" s="124">
        <f t="shared" si="2"/>
        <v>70131.085185672622</v>
      </c>
      <c r="T16" s="124">
        <f t="shared" si="2"/>
        <v>29372.856730241288</v>
      </c>
      <c r="U16" s="124">
        <f t="shared" si="2"/>
        <v>369.46989597787785</v>
      </c>
      <c r="V16" s="124">
        <f t="shared" si="2"/>
        <v>68.995461510600236</v>
      </c>
      <c r="W16" s="124">
        <f t="shared" si="2"/>
        <v>239708.00242060403</v>
      </c>
      <c r="X16" s="125"/>
      <c r="Y16" s="125"/>
      <c r="Z16" s="124">
        <f t="shared" si="6"/>
        <v>29399.270305993607</v>
      </c>
      <c r="AA16" s="124">
        <f t="shared" si="3"/>
        <v>70131.085185672622</v>
      </c>
      <c r="AB16" s="124">
        <f t="shared" si="3"/>
        <v>29372.856730241288</v>
      </c>
      <c r="AC16" s="124">
        <f t="shared" si="3"/>
        <v>369.46989597787785</v>
      </c>
      <c r="AD16" s="124">
        <f t="shared" si="3"/>
        <v>68.995461510600236</v>
      </c>
      <c r="AE16" s="124">
        <f t="shared" si="3"/>
        <v>239708.00242060403</v>
      </c>
    </row>
    <row r="17" spans="1:32" x14ac:dyDescent="0.25">
      <c r="A17" s="116" t="s">
        <v>459</v>
      </c>
      <c r="B17" s="117">
        <f t="shared" ref="B17:O17" si="9">SUM(B18:B19)</f>
        <v>475306.17</v>
      </c>
      <c r="C17" s="117">
        <f t="shared" si="9"/>
        <v>475306.17</v>
      </c>
      <c r="D17" s="117">
        <f t="shared" si="9"/>
        <v>475306.17</v>
      </c>
      <c r="E17" s="117">
        <f t="shared" si="9"/>
        <v>475306.17</v>
      </c>
      <c r="F17" s="117">
        <f t="shared" si="9"/>
        <v>475306.17</v>
      </c>
      <c r="G17" s="117">
        <f t="shared" si="9"/>
        <v>475306.17</v>
      </c>
      <c r="H17" s="117">
        <f t="shared" si="9"/>
        <v>475306.17</v>
      </c>
      <c r="I17" s="117">
        <f t="shared" si="9"/>
        <v>475306.17</v>
      </c>
      <c r="J17" s="117">
        <f t="shared" si="9"/>
        <v>475306.17</v>
      </c>
      <c r="K17" s="117">
        <f t="shared" si="9"/>
        <v>475306.17</v>
      </c>
      <c r="L17" s="117">
        <f t="shared" si="9"/>
        <v>475306.17</v>
      </c>
      <c r="M17" s="117">
        <f t="shared" si="9"/>
        <v>475306.17</v>
      </c>
      <c r="N17" s="117">
        <f t="shared" si="9"/>
        <v>475306.17</v>
      </c>
      <c r="O17" s="117">
        <f t="shared" si="9"/>
        <v>475306.17</v>
      </c>
      <c r="R17" s="126">
        <f t="shared" si="5"/>
        <v>37863.884802546221</v>
      </c>
      <c r="S17" s="126">
        <f t="shared" si="2"/>
        <v>90323.171388594041</v>
      </c>
      <c r="T17" s="126">
        <f t="shared" si="2"/>
        <v>37829.866251095809</v>
      </c>
      <c r="U17" s="126">
        <f t="shared" si="2"/>
        <v>475.84737422762021</v>
      </c>
      <c r="V17" s="126">
        <f t="shared" si="2"/>
        <v>88.860579849265307</v>
      </c>
      <c r="W17" s="126">
        <f t="shared" si="2"/>
        <v>308724.53960368701</v>
      </c>
      <c r="X17" s="125"/>
      <c r="Y17" s="125"/>
      <c r="Z17" s="126">
        <f t="shared" si="6"/>
        <v>37863.884802546221</v>
      </c>
      <c r="AA17" s="126">
        <f t="shared" si="3"/>
        <v>90323.171388594041</v>
      </c>
      <c r="AB17" s="126">
        <f t="shared" si="3"/>
        <v>37829.866251095809</v>
      </c>
      <c r="AC17" s="126">
        <f t="shared" si="3"/>
        <v>475.84737422762021</v>
      </c>
      <c r="AD17" s="126">
        <f t="shared" si="3"/>
        <v>88.860579849265307</v>
      </c>
      <c r="AE17" s="126">
        <f t="shared" si="3"/>
        <v>308724.53960368701</v>
      </c>
    </row>
    <row r="18" spans="1:32" x14ac:dyDescent="0.25">
      <c r="A18" t="s">
        <v>435</v>
      </c>
      <c r="B18" s="154">
        <f>'CU and Skipjack 22'!N18</f>
        <v>5656.13</v>
      </c>
      <c r="C18" s="68">
        <f>B18</f>
        <v>5656.13</v>
      </c>
      <c r="D18" s="68">
        <v>5656.13</v>
      </c>
      <c r="E18" s="68">
        <v>5656.13</v>
      </c>
      <c r="F18" s="68">
        <v>5656.13</v>
      </c>
      <c r="G18" s="68">
        <v>5656.13</v>
      </c>
      <c r="H18" s="68">
        <v>5656.13</v>
      </c>
      <c r="I18" s="68">
        <v>5656.13</v>
      </c>
      <c r="J18" s="68">
        <v>5656.13</v>
      </c>
      <c r="K18" s="68">
        <v>5656.13</v>
      </c>
      <c r="L18" s="68">
        <v>5656.13</v>
      </c>
      <c r="M18" s="68">
        <v>5656.13</v>
      </c>
      <c r="N18" s="68">
        <v>5656.13</v>
      </c>
      <c r="O18" s="68">
        <f t="shared" si="8"/>
        <v>5656.1299999999992</v>
      </c>
      <c r="R18" s="127">
        <f t="shared" si="5"/>
        <v>450.57915984601198</v>
      </c>
      <c r="S18" s="127">
        <f t="shared" si="2"/>
        <v>1074.8431887306836</v>
      </c>
      <c r="T18" s="127">
        <f t="shared" si="2"/>
        <v>450.1743400444613</v>
      </c>
      <c r="U18" s="127">
        <f t="shared" si="2"/>
        <v>5.66257031502467</v>
      </c>
      <c r="V18" s="127">
        <f t="shared" si="2"/>
        <v>1.0574383907173452</v>
      </c>
      <c r="W18" s="127">
        <f t="shared" si="2"/>
        <v>3673.8133026731002</v>
      </c>
      <c r="X18" s="128"/>
      <c r="Y18" s="128"/>
      <c r="Z18" s="127">
        <f t="shared" si="6"/>
        <v>450.57915984601203</v>
      </c>
      <c r="AA18" s="127">
        <f t="shared" si="3"/>
        <v>1074.8431887306838</v>
      </c>
      <c r="AB18" s="127">
        <f t="shared" si="3"/>
        <v>450.17434004446136</v>
      </c>
      <c r="AC18" s="127">
        <f t="shared" si="3"/>
        <v>5.6625703150246709</v>
      </c>
      <c r="AD18" s="127">
        <f t="shared" si="3"/>
        <v>1.0574383907173455</v>
      </c>
      <c r="AE18" s="127">
        <f t="shared" si="3"/>
        <v>3673.8133026731007</v>
      </c>
      <c r="AF18" s="89"/>
    </row>
    <row r="19" spans="1:32" x14ac:dyDescent="0.25">
      <c r="A19" t="s">
        <v>441</v>
      </c>
      <c r="B19" s="154">
        <f>'CU and Skipjack 22'!N19</f>
        <v>469650.04</v>
      </c>
      <c r="C19" s="68">
        <f>B19</f>
        <v>469650.04</v>
      </c>
      <c r="D19" s="68">
        <v>469650.04</v>
      </c>
      <c r="E19" s="68">
        <v>469650.04</v>
      </c>
      <c r="F19" s="68">
        <v>469650.04</v>
      </c>
      <c r="G19" s="68">
        <v>469650.04</v>
      </c>
      <c r="H19" s="68">
        <v>469650.04</v>
      </c>
      <c r="I19" s="68">
        <v>469650.04</v>
      </c>
      <c r="J19" s="68">
        <v>469650.04</v>
      </c>
      <c r="K19" s="68">
        <v>469650.04</v>
      </c>
      <c r="L19" s="68">
        <v>469650.04</v>
      </c>
      <c r="M19" s="68">
        <v>469650.04</v>
      </c>
      <c r="N19" s="68">
        <v>469650.04</v>
      </c>
      <c r="O19" s="68">
        <f t="shared" si="8"/>
        <v>469650.04</v>
      </c>
      <c r="R19" s="124">
        <f t="shared" si="5"/>
        <v>37413.305642700208</v>
      </c>
      <c r="S19" s="124">
        <f t="shared" si="5"/>
        <v>89248.328199863361</v>
      </c>
      <c r="T19" s="124">
        <f t="shared" si="5"/>
        <v>37379.691911051348</v>
      </c>
      <c r="U19" s="124">
        <f t="shared" si="5"/>
        <v>470.18480391259556</v>
      </c>
      <c r="V19" s="124">
        <f t="shared" si="5"/>
        <v>87.803141458547955</v>
      </c>
      <c r="W19" s="124">
        <f t="shared" si="5"/>
        <v>305050.7263010139</v>
      </c>
      <c r="X19" s="125"/>
      <c r="Y19" s="125"/>
      <c r="Z19" s="124">
        <f t="shared" si="6"/>
        <v>37413.305642700208</v>
      </c>
      <c r="AA19" s="124">
        <f t="shared" si="6"/>
        <v>89248.328199863361</v>
      </c>
      <c r="AB19" s="124">
        <f t="shared" si="6"/>
        <v>37379.691911051348</v>
      </c>
      <c r="AC19" s="124">
        <f t="shared" si="6"/>
        <v>470.18480391259556</v>
      </c>
      <c r="AD19" s="124">
        <f t="shared" si="6"/>
        <v>87.803141458547955</v>
      </c>
      <c r="AE19" s="124">
        <f t="shared" si="6"/>
        <v>305050.7263010139</v>
      </c>
    </row>
    <row r="20" spans="1:32" ht="15.75" thickBot="1" x14ac:dyDescent="0.3">
      <c r="A20" s="116" t="s">
        <v>443</v>
      </c>
      <c r="B20" s="117">
        <f t="shared" ref="B20:O20" si="10">B17+B6</f>
        <v>18148520.460000001</v>
      </c>
      <c r="C20" s="117">
        <f t="shared" si="10"/>
        <v>18148520.460000001</v>
      </c>
      <c r="D20" s="117">
        <f t="shared" si="10"/>
        <v>19348520.460000001</v>
      </c>
      <c r="E20" s="117">
        <f t="shared" si="10"/>
        <v>19348520.460000001</v>
      </c>
      <c r="F20" s="117">
        <f t="shared" si="10"/>
        <v>19348520.460000001</v>
      </c>
      <c r="G20" s="117">
        <f t="shared" si="10"/>
        <v>19348520.460000001</v>
      </c>
      <c r="H20" s="117">
        <f t="shared" si="10"/>
        <v>20348520.460000001</v>
      </c>
      <c r="I20" s="117">
        <f t="shared" si="10"/>
        <v>20348520.460000001</v>
      </c>
      <c r="J20" s="117">
        <f t="shared" si="10"/>
        <v>20348520.460000001</v>
      </c>
      <c r="K20" s="117">
        <f t="shared" si="10"/>
        <v>20348520.460000001</v>
      </c>
      <c r="L20" s="117">
        <f t="shared" si="10"/>
        <v>20348520.460000001</v>
      </c>
      <c r="M20" s="117">
        <f t="shared" si="10"/>
        <v>20348520.460000001</v>
      </c>
      <c r="N20" s="117">
        <f t="shared" si="10"/>
        <v>20933520.460000001</v>
      </c>
      <c r="O20" s="117">
        <f t="shared" si="10"/>
        <v>19747366.613846153</v>
      </c>
      <c r="R20" s="129">
        <f t="shared" si="5"/>
        <v>1573116.5758279932</v>
      </c>
      <c r="S20" s="129">
        <f t="shared" si="5"/>
        <v>3752622.818121267</v>
      </c>
      <c r="T20" s="129">
        <f t="shared" si="5"/>
        <v>1571703.2198701624</v>
      </c>
      <c r="U20" s="129">
        <f t="shared" si="5"/>
        <v>19769.851822266191</v>
      </c>
      <c r="V20" s="129">
        <f t="shared" si="5"/>
        <v>3691.8570777282189</v>
      </c>
      <c r="W20" s="129">
        <f t="shared" si="5"/>
        <v>12826462.291126736</v>
      </c>
      <c r="X20" s="125"/>
      <c r="Y20" s="125"/>
      <c r="Z20" s="129">
        <f t="shared" si="6"/>
        <v>1667608.0750417872</v>
      </c>
      <c r="AA20" s="129">
        <f t="shared" si="6"/>
        <v>3978029.4799775481</v>
      </c>
      <c r="AB20" s="129">
        <f t="shared" si="6"/>
        <v>1666109.8238349771</v>
      </c>
      <c r="AC20" s="129">
        <f t="shared" si="6"/>
        <v>20957.356274653797</v>
      </c>
      <c r="AD20" s="129">
        <f t="shared" si="6"/>
        <v>3913.6137583950554</v>
      </c>
      <c r="AE20" s="129">
        <f t="shared" si="6"/>
        <v>13596902.111112639</v>
      </c>
    </row>
    <row r="21" spans="1:32" ht="15.75" thickTop="1" x14ac:dyDescent="0.25"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</row>
    <row r="22" spans="1:32" ht="15.75" x14ac:dyDescent="0.25">
      <c r="A22" s="112" t="s">
        <v>74</v>
      </c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</row>
    <row r="23" spans="1:32" x14ac:dyDescent="0.25">
      <c r="A23" s="116" t="s">
        <v>454</v>
      </c>
      <c r="B23" s="117">
        <f>SUM(B24:B33)</f>
        <v>8256862.253283333</v>
      </c>
      <c r="C23" s="117">
        <f t="shared" ref="C23:O23" si="11">SUM(C24:C33)</f>
        <v>8457245.3995500002</v>
      </c>
      <c r="D23" s="117">
        <f t="shared" si="11"/>
        <v>8660968.5458166674</v>
      </c>
      <c r="E23" s="117">
        <f t="shared" si="11"/>
        <v>8864691.6920833346</v>
      </c>
      <c r="F23" s="117">
        <f t="shared" si="11"/>
        <v>9068414.8383500017</v>
      </c>
      <c r="G23" s="117">
        <f t="shared" si="11"/>
        <v>9272137.984616667</v>
      </c>
      <c r="H23" s="117">
        <f t="shared" si="11"/>
        <v>9478644.4642166663</v>
      </c>
      <c r="I23" s="117">
        <f t="shared" si="11"/>
        <v>9685150.9438166656</v>
      </c>
      <c r="J23" s="117">
        <f t="shared" si="11"/>
        <v>9891657.4234166667</v>
      </c>
      <c r="K23" s="117">
        <f t="shared" si="11"/>
        <v>10098163.903016668</v>
      </c>
      <c r="L23" s="117">
        <f t="shared" si="11"/>
        <v>10304670.382616667</v>
      </c>
      <c r="M23" s="117">
        <f t="shared" si="11"/>
        <v>10511176.862216668</v>
      </c>
      <c r="N23" s="117">
        <f t="shared" si="11"/>
        <v>10719311.591816667</v>
      </c>
      <c r="O23" s="117">
        <f t="shared" si="11"/>
        <v>9482238.1757551264</v>
      </c>
      <c r="R23" s="122">
        <f t="shared" ref="R23:W37" si="12">$O23*R$3</f>
        <v>755374.94907145458</v>
      </c>
      <c r="S23" s="122">
        <f t="shared" si="12"/>
        <v>1801924.4814267815</v>
      </c>
      <c r="T23" s="122">
        <f t="shared" si="12"/>
        <v>754696.28755261307</v>
      </c>
      <c r="U23" s="122">
        <f t="shared" si="12"/>
        <v>9493.0350635548803</v>
      </c>
      <c r="V23" s="122">
        <f t="shared" si="12"/>
        <v>1772.7461492167042</v>
      </c>
      <c r="W23" s="122">
        <f t="shared" si="12"/>
        <v>6158976.6764915055</v>
      </c>
      <c r="X23" s="125"/>
      <c r="Y23" s="125"/>
      <c r="Z23" s="122">
        <f t="shared" ref="Z23:AE37" si="13">$N23*Z$3</f>
        <v>853922.8078506632</v>
      </c>
      <c r="AA23" s="122">
        <f t="shared" si="13"/>
        <v>2037007.4684185137</v>
      </c>
      <c r="AB23" s="122">
        <f t="shared" si="13"/>
        <v>853155.60667400016</v>
      </c>
      <c r="AC23" s="122">
        <f t="shared" si="13"/>
        <v>10731.517065081762</v>
      </c>
      <c r="AD23" s="122">
        <f t="shared" si="13"/>
        <v>2004.0224675261004</v>
      </c>
      <c r="AE23" s="122">
        <f t="shared" si="13"/>
        <v>6962490.1693408815</v>
      </c>
    </row>
    <row r="24" spans="1:32" x14ac:dyDescent="0.25">
      <c r="A24" t="s">
        <v>455</v>
      </c>
      <c r="B24" s="68">
        <f>'CU and Skipjack 22'!N24</f>
        <v>5966.29</v>
      </c>
      <c r="C24" s="68">
        <f>B24+C41</f>
        <v>5966.29</v>
      </c>
      <c r="D24" s="68">
        <f t="shared" ref="D24:N24" si="14">C24+D41</f>
        <v>5966.29</v>
      </c>
      <c r="E24" s="68">
        <f t="shared" si="14"/>
        <v>5966.29</v>
      </c>
      <c r="F24" s="68">
        <f t="shared" si="14"/>
        <v>5966.29</v>
      </c>
      <c r="G24" s="68">
        <f t="shared" si="14"/>
        <v>5966.29</v>
      </c>
      <c r="H24" s="68">
        <f t="shared" si="14"/>
        <v>5966.29</v>
      </c>
      <c r="I24" s="68">
        <f t="shared" si="14"/>
        <v>5966.29</v>
      </c>
      <c r="J24" s="68">
        <f t="shared" si="14"/>
        <v>5966.29</v>
      </c>
      <c r="K24" s="68">
        <f t="shared" si="14"/>
        <v>5966.29</v>
      </c>
      <c r="L24" s="68">
        <f t="shared" si="14"/>
        <v>5966.29</v>
      </c>
      <c r="M24" s="68">
        <f t="shared" si="14"/>
        <v>5966.29</v>
      </c>
      <c r="N24" s="68">
        <f t="shared" si="14"/>
        <v>5966.29</v>
      </c>
      <c r="O24" s="68">
        <f>SUM(B24:N24)/13</f>
        <v>5966.2899999999991</v>
      </c>
      <c r="R24" s="124">
        <f t="shared" si="12"/>
        <v>475.28715492707249</v>
      </c>
      <c r="S24" s="124">
        <f t="shared" si="12"/>
        <v>1133.7833763530878</v>
      </c>
      <c r="T24" s="124">
        <f t="shared" si="12"/>
        <v>474.86013639429592</v>
      </c>
      <c r="U24" s="124">
        <f t="shared" si="12"/>
        <v>5.9730834766578091</v>
      </c>
      <c r="V24" s="124">
        <f t="shared" si="12"/>
        <v>1.1154241674347989</v>
      </c>
      <c r="W24" s="124">
        <f t="shared" si="12"/>
        <v>3875.27082468145</v>
      </c>
      <c r="X24" s="125"/>
      <c r="Y24" s="125"/>
      <c r="Z24" s="124">
        <f t="shared" si="13"/>
        <v>475.28715492707261</v>
      </c>
      <c r="AA24" s="124">
        <f t="shared" si="13"/>
        <v>1133.7833763530878</v>
      </c>
      <c r="AB24" s="124">
        <f t="shared" si="13"/>
        <v>474.86013639429598</v>
      </c>
      <c r="AC24" s="124">
        <f t="shared" si="13"/>
        <v>5.97308347665781</v>
      </c>
      <c r="AD24" s="124">
        <f t="shared" si="13"/>
        <v>1.1154241674347991</v>
      </c>
      <c r="AE24" s="124">
        <f t="shared" si="13"/>
        <v>3875.2708246814504</v>
      </c>
    </row>
    <row r="25" spans="1:32" x14ac:dyDescent="0.25">
      <c r="A25" t="s">
        <v>434</v>
      </c>
      <c r="B25" s="68">
        <f>'CU and Skipjack 22'!N25</f>
        <v>1458050.0800000017</v>
      </c>
      <c r="C25" s="68">
        <f t="shared" ref="C25:N33" si="15">B25+C42</f>
        <v>1479665.9500000018</v>
      </c>
      <c r="D25" s="68">
        <f t="shared" si="15"/>
        <v>1501281.8200000019</v>
      </c>
      <c r="E25" s="68">
        <f t="shared" si="15"/>
        <v>1522897.690000002</v>
      </c>
      <c r="F25" s="68">
        <f t="shared" si="15"/>
        <v>1544513.5600000022</v>
      </c>
      <c r="G25" s="68">
        <f t="shared" si="15"/>
        <v>1566129.4300000023</v>
      </c>
      <c r="H25" s="68">
        <f t="shared" si="15"/>
        <v>1587745.3000000024</v>
      </c>
      <c r="I25" s="68">
        <f t="shared" si="15"/>
        <v>1609361.1700000025</v>
      </c>
      <c r="J25" s="68">
        <f t="shared" si="15"/>
        <v>1630977.0400000026</v>
      </c>
      <c r="K25" s="68">
        <f t="shared" si="15"/>
        <v>1652592.9100000027</v>
      </c>
      <c r="L25" s="68">
        <f t="shared" si="15"/>
        <v>1674208.7800000028</v>
      </c>
      <c r="M25" s="68">
        <f t="shared" si="15"/>
        <v>1695824.6500000029</v>
      </c>
      <c r="N25" s="68">
        <f t="shared" si="15"/>
        <v>1717440.520000003</v>
      </c>
      <c r="O25" s="68">
        <f t="shared" ref="O25:O36" si="16">SUM(B25:N25)/13</f>
        <v>1587745.3000000021</v>
      </c>
      <c r="R25" s="124">
        <f t="shared" si="12"/>
        <v>126483.11536747834</v>
      </c>
      <c r="S25" s="124">
        <f t="shared" si="12"/>
        <v>301721.71098333283</v>
      </c>
      <c r="T25" s="124">
        <f t="shared" si="12"/>
        <v>126369.47746713676</v>
      </c>
      <c r="U25" s="124">
        <f t="shared" si="12"/>
        <v>1589.5531756872547</v>
      </c>
      <c r="V25" s="124">
        <f t="shared" si="12"/>
        <v>296.83596998319189</v>
      </c>
      <c r="W25" s="124">
        <f t="shared" si="12"/>
        <v>1031284.6070363837</v>
      </c>
      <c r="X25" s="125"/>
      <c r="Y25" s="125"/>
      <c r="Z25" s="124">
        <f t="shared" si="13"/>
        <v>136814.90817698662</v>
      </c>
      <c r="AA25" s="124">
        <f t="shared" si="13"/>
        <v>326367.89553494827</v>
      </c>
      <c r="AB25" s="124">
        <f t="shared" si="13"/>
        <v>136691.98774720842</v>
      </c>
      <c r="AC25" s="124">
        <f t="shared" si="13"/>
        <v>1719.3960722919296</v>
      </c>
      <c r="AD25" s="124">
        <f t="shared" si="13"/>
        <v>321.0830620267858</v>
      </c>
      <c r="AE25" s="124">
        <f t="shared" si="13"/>
        <v>1115525.249406541</v>
      </c>
    </row>
    <row r="26" spans="1:32" x14ac:dyDescent="0.25">
      <c r="A26" t="s">
        <v>456</v>
      </c>
      <c r="B26" s="68">
        <f>'CU and Skipjack 22'!N26</f>
        <v>194354.58999999988</v>
      </c>
      <c r="C26" s="68">
        <f t="shared" si="15"/>
        <v>197903.60999999987</v>
      </c>
      <c r="D26" s="68">
        <f t="shared" si="15"/>
        <v>201452.62999999986</v>
      </c>
      <c r="E26" s="68">
        <f t="shared" si="15"/>
        <v>205001.64999999985</v>
      </c>
      <c r="F26" s="68">
        <f t="shared" si="15"/>
        <v>208550.66999999984</v>
      </c>
      <c r="G26" s="68">
        <f t="shared" si="15"/>
        <v>212099.68999999983</v>
      </c>
      <c r="H26" s="68">
        <f t="shared" si="15"/>
        <v>215648.70999999982</v>
      </c>
      <c r="I26" s="68">
        <f t="shared" si="15"/>
        <v>219197.72999999981</v>
      </c>
      <c r="J26" s="68">
        <f t="shared" si="15"/>
        <v>222746.7499999998</v>
      </c>
      <c r="K26" s="68">
        <f t="shared" si="15"/>
        <v>226295.76999999979</v>
      </c>
      <c r="L26" s="68">
        <f t="shared" si="15"/>
        <v>229844.78999999978</v>
      </c>
      <c r="M26" s="68">
        <f t="shared" si="15"/>
        <v>233393.80999999976</v>
      </c>
      <c r="N26" s="68">
        <f t="shared" si="15"/>
        <v>236942.82999999975</v>
      </c>
      <c r="O26" s="68">
        <f t="shared" si="16"/>
        <v>215648.70999999976</v>
      </c>
      <c r="R26" s="124">
        <f t="shared" si="12"/>
        <v>17179.027811184711</v>
      </c>
      <c r="S26" s="124">
        <f t="shared" si="12"/>
        <v>40980.060059096628</v>
      </c>
      <c r="T26" s="124">
        <f t="shared" si="12"/>
        <v>17163.593429728335</v>
      </c>
      <c r="U26" s="124">
        <f t="shared" si="12"/>
        <v>215.89425697771489</v>
      </c>
      <c r="V26" s="124">
        <f t="shared" si="12"/>
        <v>40.316475198178125</v>
      </c>
      <c r="W26" s="124">
        <f t="shared" si="12"/>
        <v>140069.81796781419</v>
      </c>
      <c r="X26" s="125"/>
      <c r="Y26" s="125"/>
      <c r="Z26" s="124">
        <f t="shared" si="13"/>
        <v>18875.362000685334</v>
      </c>
      <c r="AA26" s="124">
        <f t="shared" si="13"/>
        <v>45026.614831001418</v>
      </c>
      <c r="AB26" s="124">
        <f t="shared" si="13"/>
        <v>18858.403559238715</v>
      </c>
      <c r="AC26" s="124">
        <f t="shared" si="13"/>
        <v>237.21262338665051</v>
      </c>
      <c r="AD26" s="124">
        <f t="shared" si="13"/>
        <v>44.297504627229799</v>
      </c>
      <c r="AE26" s="124">
        <f t="shared" si="13"/>
        <v>153900.9394810604</v>
      </c>
    </row>
    <row r="27" spans="1:32" x14ac:dyDescent="0.25">
      <c r="A27" t="s">
        <v>435</v>
      </c>
      <c r="B27" s="68">
        <f>'CU and Skipjack 22'!N27</f>
        <v>555807.1399999999</v>
      </c>
      <c r="C27" s="68">
        <f t="shared" si="15"/>
        <v>566294.61999999988</v>
      </c>
      <c r="D27" s="68">
        <f t="shared" si="15"/>
        <v>576782.09999999986</v>
      </c>
      <c r="E27" s="68">
        <f t="shared" si="15"/>
        <v>587269.57999999984</v>
      </c>
      <c r="F27" s="68">
        <f t="shared" si="15"/>
        <v>597757.05999999982</v>
      </c>
      <c r="G27" s="68">
        <f t="shared" si="15"/>
        <v>608244.5399999998</v>
      </c>
      <c r="H27" s="68">
        <f t="shared" si="15"/>
        <v>618732.01999999979</v>
      </c>
      <c r="I27" s="68">
        <f t="shared" si="15"/>
        <v>629219.49999999977</v>
      </c>
      <c r="J27" s="68">
        <f t="shared" si="15"/>
        <v>639706.97999999975</v>
      </c>
      <c r="K27" s="68">
        <f t="shared" si="15"/>
        <v>650194.45999999973</v>
      </c>
      <c r="L27" s="68">
        <f t="shared" si="15"/>
        <v>660681.93999999971</v>
      </c>
      <c r="M27" s="68">
        <f t="shared" si="15"/>
        <v>671169.41999999969</v>
      </c>
      <c r="N27" s="68">
        <f t="shared" si="15"/>
        <v>681656.89999999967</v>
      </c>
      <c r="O27" s="68">
        <f t="shared" si="16"/>
        <v>618732.01999999979</v>
      </c>
      <c r="R27" s="124">
        <f t="shared" si="12"/>
        <v>49289.488350060165</v>
      </c>
      <c r="S27" s="124">
        <f t="shared" si="12"/>
        <v>117578.6089334186</v>
      </c>
      <c r="T27" s="124">
        <f t="shared" si="12"/>
        <v>49245.20454230655</v>
      </c>
      <c r="U27" s="124">
        <f t="shared" si="12"/>
        <v>619.43653512335277</v>
      </c>
      <c r="V27" s="124">
        <f t="shared" si="12"/>
        <v>115.67467358672664</v>
      </c>
      <c r="W27" s="124">
        <f t="shared" si="12"/>
        <v>401883.60696550435</v>
      </c>
      <c r="X27" s="125"/>
      <c r="Y27" s="125"/>
      <c r="Z27" s="124">
        <f t="shared" si="13"/>
        <v>54302.216056780322</v>
      </c>
      <c r="AA27" s="124">
        <f t="shared" si="13"/>
        <v>129536.32183423515</v>
      </c>
      <c r="AB27" s="124">
        <f t="shared" si="13"/>
        <v>54253.428597690159</v>
      </c>
      <c r="AC27" s="124">
        <f t="shared" si="13"/>
        <v>682.43306412188872</v>
      </c>
      <c r="AD27" s="124">
        <f t="shared" si="13"/>
        <v>127.43875677492809</v>
      </c>
      <c r="AE27" s="124">
        <f t="shared" si="13"/>
        <v>442755.06169039721</v>
      </c>
    </row>
    <row r="28" spans="1:32" x14ac:dyDescent="0.25">
      <c r="A28" t="s">
        <v>457</v>
      </c>
      <c r="B28" s="68">
        <f>'CU and Skipjack 22'!N28</f>
        <v>2682854.9432833325</v>
      </c>
      <c r="C28" s="68">
        <f t="shared" si="15"/>
        <v>2748468.6695499993</v>
      </c>
      <c r="D28" s="68">
        <f t="shared" si="15"/>
        <v>2817422.3958166661</v>
      </c>
      <c r="E28" s="68">
        <f t="shared" si="15"/>
        <v>2886376.1220833329</v>
      </c>
      <c r="F28" s="68">
        <f t="shared" si="15"/>
        <v>2955329.8483499996</v>
      </c>
      <c r="G28" s="68">
        <f t="shared" si="15"/>
        <v>3024283.5746166664</v>
      </c>
      <c r="H28" s="68">
        <f t="shared" si="15"/>
        <v>3096020.6342166662</v>
      </c>
      <c r="I28" s="68">
        <f t="shared" si="15"/>
        <v>3167757.693816666</v>
      </c>
      <c r="J28" s="68">
        <f t="shared" si="15"/>
        <v>3239494.7534166658</v>
      </c>
      <c r="K28" s="68">
        <f t="shared" si="15"/>
        <v>3311231.8130166656</v>
      </c>
      <c r="L28" s="68">
        <f t="shared" si="15"/>
        <v>3382968.8726166654</v>
      </c>
      <c r="M28" s="68">
        <f t="shared" si="15"/>
        <v>3454705.9322166652</v>
      </c>
      <c r="N28" s="68">
        <f t="shared" si="15"/>
        <v>3528071.241816665</v>
      </c>
      <c r="O28" s="68">
        <f t="shared" si="16"/>
        <v>3099614.3457551273</v>
      </c>
      <c r="R28" s="124">
        <f t="shared" si="12"/>
        <v>246921.76943546053</v>
      </c>
      <c r="S28" s="124">
        <f t="shared" si="12"/>
        <v>589024.53925684397</v>
      </c>
      <c r="T28" s="124">
        <f t="shared" si="12"/>
        <v>246699.92424018882</v>
      </c>
      <c r="U28" s="124">
        <f t="shared" si="12"/>
        <v>3103.1437011344506</v>
      </c>
      <c r="V28" s="124">
        <f t="shared" si="12"/>
        <v>579.48654037649396</v>
      </c>
      <c r="W28" s="124">
        <f t="shared" si="12"/>
        <v>2013285.4825811228</v>
      </c>
      <c r="X28" s="125"/>
      <c r="Y28" s="125"/>
      <c r="Z28" s="124">
        <f t="shared" si="13"/>
        <v>281053.54297277983</v>
      </c>
      <c r="AA28" s="124">
        <f t="shared" si="13"/>
        <v>670444.87018920132</v>
      </c>
      <c r="AB28" s="124">
        <f t="shared" si="13"/>
        <v>280801.03231620567</v>
      </c>
      <c r="AC28" s="124">
        <f t="shared" si="13"/>
        <v>3532.0884568076181</v>
      </c>
      <c r="AD28" s="124">
        <f t="shared" si="13"/>
        <v>659.58844232412628</v>
      </c>
      <c r="AE28" s="124">
        <f t="shared" si="13"/>
        <v>2291580.1194393463</v>
      </c>
    </row>
    <row r="29" spans="1:32" x14ac:dyDescent="0.25">
      <c r="A29" t="s">
        <v>436</v>
      </c>
      <c r="B29" s="68">
        <f>'CU and Skipjack 22'!N29</f>
        <v>387464.14</v>
      </c>
      <c r="C29" s="68">
        <f t="shared" si="15"/>
        <v>400461.95</v>
      </c>
      <c r="D29" s="68">
        <f t="shared" si="15"/>
        <v>413459.76</v>
      </c>
      <c r="E29" s="68">
        <f t="shared" si="15"/>
        <v>426457.57</v>
      </c>
      <c r="F29" s="68">
        <f t="shared" si="15"/>
        <v>439455.38</v>
      </c>
      <c r="G29" s="68">
        <f t="shared" si="15"/>
        <v>452453.19</v>
      </c>
      <c r="H29" s="68">
        <f t="shared" si="15"/>
        <v>465451</v>
      </c>
      <c r="I29" s="68">
        <f t="shared" si="15"/>
        <v>478448.81</v>
      </c>
      <c r="J29" s="68">
        <f t="shared" si="15"/>
        <v>491446.62</v>
      </c>
      <c r="K29" s="68">
        <f t="shared" si="15"/>
        <v>504444.43</v>
      </c>
      <c r="L29" s="68">
        <f t="shared" si="15"/>
        <v>517442.24</v>
      </c>
      <c r="M29" s="68">
        <f t="shared" si="15"/>
        <v>530440.05000000005</v>
      </c>
      <c r="N29" s="68">
        <f t="shared" si="15"/>
        <v>543437.8600000001</v>
      </c>
      <c r="O29" s="68">
        <f t="shared" si="16"/>
        <v>465451.00000000006</v>
      </c>
      <c r="R29" s="124">
        <f t="shared" si="12"/>
        <v>37078.801323428946</v>
      </c>
      <c r="S29" s="124">
        <f t="shared" si="12"/>
        <v>88450.378092067462</v>
      </c>
      <c r="T29" s="124">
        <f t="shared" si="12"/>
        <v>37045.488124925454</v>
      </c>
      <c r="U29" s="124">
        <f t="shared" si="12"/>
        <v>465.9809827034648</v>
      </c>
      <c r="V29" s="124">
        <f t="shared" si="12"/>
        <v>87.018112454589826</v>
      </c>
      <c r="W29" s="124">
        <f t="shared" si="12"/>
        <v>302323.3333644201</v>
      </c>
      <c r="X29" s="125"/>
      <c r="Y29" s="125"/>
      <c r="Z29" s="124">
        <f t="shared" si="13"/>
        <v>43291.397897027608</v>
      </c>
      <c r="AA29" s="124">
        <f t="shared" si="13"/>
        <v>103270.34249909018</v>
      </c>
      <c r="AB29" s="124">
        <f t="shared" si="13"/>
        <v>43252.50303311176</v>
      </c>
      <c r="AC29" s="124">
        <f t="shared" si="13"/>
        <v>544.05664192593406</v>
      </c>
      <c r="AD29" s="124">
        <f t="shared" si="13"/>
        <v>101.59809907715666</v>
      </c>
      <c r="AE29" s="124">
        <f t="shared" si="13"/>
        <v>352977.96182976745</v>
      </c>
    </row>
    <row r="30" spans="1:32" x14ac:dyDescent="0.25">
      <c r="A30" t="s">
        <v>437</v>
      </c>
      <c r="B30" s="68">
        <f>'CU and Skipjack 22'!N30</f>
        <v>100453.57999999996</v>
      </c>
      <c r="C30" s="68">
        <f t="shared" si="15"/>
        <v>102049.55999999995</v>
      </c>
      <c r="D30" s="68">
        <f t="shared" si="15"/>
        <v>103645.53999999995</v>
      </c>
      <c r="E30" s="68">
        <f t="shared" si="15"/>
        <v>105241.51999999995</v>
      </c>
      <c r="F30" s="68">
        <f t="shared" si="15"/>
        <v>106837.49999999994</v>
      </c>
      <c r="G30" s="68">
        <f t="shared" si="15"/>
        <v>108433.47999999994</v>
      </c>
      <c r="H30" s="68">
        <f t="shared" si="15"/>
        <v>110029.45999999993</v>
      </c>
      <c r="I30" s="68">
        <f t="shared" si="15"/>
        <v>111625.43999999993</v>
      </c>
      <c r="J30" s="68">
        <f t="shared" si="15"/>
        <v>113221.41999999993</v>
      </c>
      <c r="K30" s="68">
        <f t="shared" si="15"/>
        <v>114817.39999999992</v>
      </c>
      <c r="L30" s="68">
        <f t="shared" si="15"/>
        <v>116413.37999999992</v>
      </c>
      <c r="M30" s="68">
        <f t="shared" si="15"/>
        <v>118009.35999999991</v>
      </c>
      <c r="N30" s="68">
        <f t="shared" si="15"/>
        <v>119605.33999999991</v>
      </c>
      <c r="O30" s="68">
        <f t="shared" si="16"/>
        <v>110029.45999999993</v>
      </c>
      <c r="R30" s="124">
        <f t="shared" si="12"/>
        <v>8765.1771874250335</v>
      </c>
      <c r="S30" s="124">
        <f t="shared" si="12"/>
        <v>20909.069565359201</v>
      </c>
      <c r="T30" s="124">
        <f t="shared" si="12"/>
        <v>8757.302173208258</v>
      </c>
      <c r="U30" s="124">
        <f t="shared" si="12"/>
        <v>110.154744317085</v>
      </c>
      <c r="V30" s="124">
        <f t="shared" si="12"/>
        <v>20.570491681396724</v>
      </c>
      <c r="W30" s="124">
        <f t="shared" si="12"/>
        <v>71467.185838008954</v>
      </c>
      <c r="X30" s="125"/>
      <c r="Y30" s="125"/>
      <c r="Z30" s="124">
        <f t="shared" si="13"/>
        <v>9528.0118403036304</v>
      </c>
      <c r="AA30" s="124">
        <f t="shared" si="13"/>
        <v>22728.788948418351</v>
      </c>
      <c r="AB30" s="124">
        <f t="shared" si="13"/>
        <v>9519.4514624475341</v>
      </c>
      <c r="AC30" s="124">
        <f t="shared" si="13"/>
        <v>119.74152782952872</v>
      </c>
      <c r="AD30" s="124">
        <f t="shared" si="13"/>
        <v>22.360744581684092</v>
      </c>
      <c r="AE30" s="124">
        <f t="shared" si="13"/>
        <v>77686.98547641917</v>
      </c>
    </row>
    <row r="31" spans="1:32" x14ac:dyDescent="0.25">
      <c r="A31" t="s">
        <v>438</v>
      </c>
      <c r="B31" s="68">
        <f>'CU and Skipjack 22'!N31</f>
        <v>1768501.3299999991</v>
      </c>
      <c r="C31" s="68">
        <f t="shared" si="15"/>
        <v>1833399.9899999991</v>
      </c>
      <c r="D31" s="68">
        <f t="shared" si="15"/>
        <v>1898298.649999999</v>
      </c>
      <c r="E31" s="68">
        <f t="shared" si="15"/>
        <v>1963197.3099999989</v>
      </c>
      <c r="F31" s="68">
        <f t="shared" si="15"/>
        <v>2028095.9699999988</v>
      </c>
      <c r="G31" s="68">
        <f t="shared" si="15"/>
        <v>2092994.6299999987</v>
      </c>
      <c r="H31" s="68">
        <f t="shared" si="15"/>
        <v>2157893.2899999986</v>
      </c>
      <c r="I31" s="68">
        <f t="shared" si="15"/>
        <v>2222791.9499999988</v>
      </c>
      <c r="J31" s="68">
        <f t="shared" si="15"/>
        <v>2287690.6099999989</v>
      </c>
      <c r="K31" s="68">
        <f t="shared" si="15"/>
        <v>2352589.2699999991</v>
      </c>
      <c r="L31" s="68">
        <f t="shared" si="15"/>
        <v>2417487.9299999992</v>
      </c>
      <c r="M31" s="68">
        <f t="shared" si="15"/>
        <v>2482386.5899999994</v>
      </c>
      <c r="N31" s="68">
        <f t="shared" si="15"/>
        <v>2547285.2499999995</v>
      </c>
      <c r="O31" s="68">
        <f t="shared" si="16"/>
        <v>2157893.2899999991</v>
      </c>
      <c r="R31" s="124">
        <f t="shared" si="12"/>
        <v>171902.29815183638</v>
      </c>
      <c r="S31" s="124">
        <f t="shared" si="12"/>
        <v>410067.82106566592</v>
      </c>
      <c r="T31" s="124">
        <f t="shared" si="12"/>
        <v>171747.85369362461</v>
      </c>
      <c r="U31" s="124">
        <f t="shared" si="12"/>
        <v>2160.3503609260956</v>
      </c>
      <c r="V31" s="124">
        <f t="shared" si="12"/>
        <v>403.42764538957857</v>
      </c>
      <c r="W31" s="124">
        <f t="shared" si="12"/>
        <v>1401611.5390825565</v>
      </c>
      <c r="X31" s="125"/>
      <c r="Y31" s="125"/>
      <c r="Z31" s="124">
        <f t="shared" si="13"/>
        <v>202922.07707975921</v>
      </c>
      <c r="AA31" s="124">
        <f t="shared" si="13"/>
        <v>484064.58138632536</v>
      </c>
      <c r="AB31" s="124">
        <f t="shared" si="13"/>
        <v>202739.76311077373</v>
      </c>
      <c r="AC31" s="124">
        <f t="shared" si="13"/>
        <v>2550.1856995065873</v>
      </c>
      <c r="AD31" s="124">
        <f t="shared" si="13"/>
        <v>476.22618565309324</v>
      </c>
      <c r="AE31" s="124">
        <f t="shared" si="13"/>
        <v>1654532.4165379815</v>
      </c>
    </row>
    <row r="32" spans="1:32" x14ac:dyDescent="0.25">
      <c r="A32" t="s">
        <v>458</v>
      </c>
      <c r="B32" s="68">
        <f>'CU and Skipjack 22'!N32</f>
        <v>837055.02000000014</v>
      </c>
      <c r="C32" s="68">
        <f t="shared" si="15"/>
        <v>852122.79000000015</v>
      </c>
      <c r="D32" s="68">
        <f t="shared" si="15"/>
        <v>867190.56000000017</v>
      </c>
      <c r="E32" s="68">
        <f t="shared" si="15"/>
        <v>882258.33000000019</v>
      </c>
      <c r="F32" s="68">
        <f t="shared" si="15"/>
        <v>897326.10000000021</v>
      </c>
      <c r="G32" s="68">
        <f t="shared" si="15"/>
        <v>912393.87000000023</v>
      </c>
      <c r="H32" s="68">
        <f t="shared" si="15"/>
        <v>927461.64000000025</v>
      </c>
      <c r="I32" s="68">
        <f t="shared" si="15"/>
        <v>942529.41000000027</v>
      </c>
      <c r="J32" s="68">
        <f t="shared" si="15"/>
        <v>957597.18000000028</v>
      </c>
      <c r="K32" s="68">
        <f t="shared" si="15"/>
        <v>972664.9500000003</v>
      </c>
      <c r="L32" s="68">
        <f t="shared" si="15"/>
        <v>987732.72000000032</v>
      </c>
      <c r="M32" s="68">
        <f t="shared" si="15"/>
        <v>1002800.4900000003</v>
      </c>
      <c r="N32" s="68">
        <f t="shared" si="15"/>
        <v>1017868.2600000004</v>
      </c>
      <c r="O32" s="68">
        <f t="shared" si="16"/>
        <v>927461.64000000036</v>
      </c>
      <c r="R32" s="124">
        <f t="shared" si="12"/>
        <v>73883.536365077292</v>
      </c>
      <c r="S32" s="124">
        <f t="shared" si="12"/>
        <v>176246.97921776725</v>
      </c>
      <c r="T32" s="124">
        <f t="shared" si="12"/>
        <v>73817.156201069272</v>
      </c>
      <c r="U32" s="124">
        <f t="shared" si="12"/>
        <v>928.51768806376435</v>
      </c>
      <c r="V32" s="124">
        <f t="shared" si="12"/>
        <v>173.39303446944646</v>
      </c>
      <c r="W32" s="124">
        <f t="shared" si="12"/>
        <v>602412.05749355326</v>
      </c>
      <c r="X32" s="125"/>
      <c r="Y32" s="125"/>
      <c r="Z32" s="124">
        <f t="shared" si="13"/>
        <v>81085.517027494468</v>
      </c>
      <c r="AA32" s="124">
        <f t="shared" si="13"/>
        <v>193427.08995128347</v>
      </c>
      <c r="AB32" s="124">
        <f t="shared" si="13"/>
        <v>81012.666292624883</v>
      </c>
      <c r="AC32" s="124">
        <f t="shared" si="13"/>
        <v>1019.0272489638348</v>
      </c>
      <c r="AD32" s="124">
        <f t="shared" si="13"/>
        <v>190.29494987149604</v>
      </c>
      <c r="AE32" s="124">
        <f t="shared" si="13"/>
        <v>661133.66452976211</v>
      </c>
    </row>
    <row r="33" spans="1:31" x14ac:dyDescent="0.25">
      <c r="A33" t="s">
        <v>441</v>
      </c>
      <c r="B33" s="68">
        <f>'CU and Skipjack 22'!N33</f>
        <v>266355.1399999999</v>
      </c>
      <c r="C33" s="68">
        <f t="shared" si="15"/>
        <v>270911.96999999991</v>
      </c>
      <c r="D33" s="68">
        <f t="shared" si="15"/>
        <v>275468.79999999993</v>
      </c>
      <c r="E33" s="68">
        <f t="shared" si="15"/>
        <v>280025.62999999995</v>
      </c>
      <c r="F33" s="68">
        <f t="shared" si="15"/>
        <v>284582.45999999996</v>
      </c>
      <c r="G33" s="68">
        <f t="shared" si="15"/>
        <v>289139.28999999998</v>
      </c>
      <c r="H33" s="68">
        <f t="shared" si="15"/>
        <v>293696.12</v>
      </c>
      <c r="I33" s="68">
        <f t="shared" si="15"/>
        <v>298252.95</v>
      </c>
      <c r="J33" s="68">
        <f t="shared" si="15"/>
        <v>302809.78000000003</v>
      </c>
      <c r="K33" s="68">
        <f t="shared" si="15"/>
        <v>307366.61000000004</v>
      </c>
      <c r="L33" s="68">
        <f t="shared" si="15"/>
        <v>311923.44000000006</v>
      </c>
      <c r="M33" s="68">
        <f t="shared" si="15"/>
        <v>316480.27000000008</v>
      </c>
      <c r="N33" s="68">
        <f t="shared" si="15"/>
        <v>321037.10000000009</v>
      </c>
      <c r="O33" s="68">
        <f t="shared" si="16"/>
        <v>293696.12</v>
      </c>
      <c r="R33" s="124">
        <f t="shared" si="12"/>
        <v>23396.44792457626</v>
      </c>
      <c r="S33" s="124">
        <f t="shared" si="12"/>
        <v>55811.530876876859</v>
      </c>
      <c r="T33" s="124">
        <f t="shared" si="12"/>
        <v>23375.427544030797</v>
      </c>
      <c r="U33" s="124">
        <f t="shared" si="12"/>
        <v>294.03053514504148</v>
      </c>
      <c r="V33" s="124">
        <f t="shared" si="12"/>
        <v>54.907781909667627</v>
      </c>
      <c r="W33" s="124">
        <f t="shared" si="12"/>
        <v>190763.77533746135</v>
      </c>
      <c r="X33" s="125"/>
      <c r="Y33" s="125"/>
      <c r="Z33" s="124">
        <f t="shared" si="13"/>
        <v>25574.48764391911</v>
      </c>
      <c r="AA33" s="124">
        <f t="shared" si="13"/>
        <v>61007.17986765712</v>
      </c>
      <c r="AB33" s="124">
        <f t="shared" si="13"/>
        <v>25551.510418305057</v>
      </c>
      <c r="AC33" s="124">
        <f t="shared" si="13"/>
        <v>321.40264677113277</v>
      </c>
      <c r="AD33" s="124">
        <f t="shared" si="13"/>
        <v>60.019298422165612</v>
      </c>
      <c r="AE33" s="124">
        <f t="shared" si="13"/>
        <v>208522.50012492549</v>
      </c>
    </row>
    <row r="34" spans="1:31" x14ac:dyDescent="0.25">
      <c r="A34" s="116" t="s">
        <v>459</v>
      </c>
      <c r="B34" s="117">
        <f t="shared" ref="B34:O34" si="17">SUM(B35:B36)</f>
        <v>340974.46999999986</v>
      </c>
      <c r="C34" s="117">
        <f t="shared" si="17"/>
        <v>346707.23999999982</v>
      </c>
      <c r="D34" s="117">
        <f t="shared" si="17"/>
        <v>352440.00999999983</v>
      </c>
      <c r="E34" s="117">
        <f t="shared" si="17"/>
        <v>358172.7799999998</v>
      </c>
      <c r="F34" s="117">
        <f t="shared" si="17"/>
        <v>363905.54999999981</v>
      </c>
      <c r="G34" s="117">
        <f t="shared" si="17"/>
        <v>369638.31999999977</v>
      </c>
      <c r="H34" s="117">
        <f t="shared" si="17"/>
        <v>375371.08999999979</v>
      </c>
      <c r="I34" s="117">
        <f t="shared" si="17"/>
        <v>381103.85999999975</v>
      </c>
      <c r="J34" s="117">
        <f t="shared" si="17"/>
        <v>386836.62999999977</v>
      </c>
      <c r="K34" s="117">
        <f t="shared" si="17"/>
        <v>392569.39999999973</v>
      </c>
      <c r="L34" s="117">
        <f t="shared" si="17"/>
        <v>398302.16999999975</v>
      </c>
      <c r="M34" s="117">
        <f t="shared" si="17"/>
        <v>404034.93999999971</v>
      </c>
      <c r="N34" s="117">
        <f t="shared" si="17"/>
        <v>409767.70999999973</v>
      </c>
      <c r="O34" s="117">
        <f t="shared" si="17"/>
        <v>375371.08999999979</v>
      </c>
      <c r="R34" s="126">
        <f t="shared" si="12"/>
        <v>29902.847063748832</v>
      </c>
      <c r="S34" s="126">
        <f t="shared" si="12"/>
        <v>71332.352568436763</v>
      </c>
      <c r="T34" s="126">
        <f t="shared" si="12"/>
        <v>29875.981052861232</v>
      </c>
      <c r="U34" s="126">
        <f t="shared" si="12"/>
        <v>375.79850380957527</v>
      </c>
      <c r="V34" s="126">
        <f t="shared" si="12"/>
        <v>70.177276924578393</v>
      </c>
      <c r="W34" s="126">
        <f t="shared" si="12"/>
        <v>243813.93353421878</v>
      </c>
      <c r="X34" s="125"/>
      <c r="Y34" s="125"/>
      <c r="Z34" s="126">
        <f t="shared" si="13"/>
        <v>32642.953840138784</v>
      </c>
      <c r="AA34" s="126">
        <f t="shared" si="13"/>
        <v>77868.795811848351</v>
      </c>
      <c r="AB34" s="126">
        <f t="shared" si="13"/>
        <v>32613.625998833144</v>
      </c>
      <c r="AC34" s="126">
        <f t="shared" si="13"/>
        <v>410.23428929349859</v>
      </c>
      <c r="AD34" s="126">
        <f t="shared" si="13"/>
        <v>76.607876380198405</v>
      </c>
      <c r="AE34" s="126">
        <f t="shared" si="13"/>
        <v>266155.49218350573</v>
      </c>
    </row>
    <row r="35" spans="1:31" x14ac:dyDescent="0.25">
      <c r="A35" t="s">
        <v>435</v>
      </c>
      <c r="B35" s="68">
        <f>'CU and Skipjack 22'!N35</f>
        <v>6244.4500000000035</v>
      </c>
      <c r="C35" s="68">
        <f t="shared" ref="C35:N35" si="18">B35+C52</f>
        <v>6293.9200000000037</v>
      </c>
      <c r="D35" s="68">
        <f t="shared" si="18"/>
        <v>6343.390000000004</v>
      </c>
      <c r="E35" s="68">
        <f t="shared" si="18"/>
        <v>6392.8600000000042</v>
      </c>
      <c r="F35" s="68">
        <f t="shared" si="18"/>
        <v>6442.3300000000045</v>
      </c>
      <c r="G35" s="68">
        <f t="shared" si="18"/>
        <v>6491.8000000000047</v>
      </c>
      <c r="H35" s="68">
        <f t="shared" si="18"/>
        <v>6541.270000000005</v>
      </c>
      <c r="I35" s="68">
        <f t="shared" si="18"/>
        <v>6590.7400000000052</v>
      </c>
      <c r="J35" s="68">
        <f t="shared" si="18"/>
        <v>6640.2100000000055</v>
      </c>
      <c r="K35" s="68">
        <f t="shared" si="18"/>
        <v>6689.6800000000057</v>
      </c>
      <c r="L35" s="68">
        <f t="shared" si="18"/>
        <v>6739.150000000006</v>
      </c>
      <c r="M35" s="68">
        <f t="shared" si="18"/>
        <v>6788.6200000000063</v>
      </c>
      <c r="N35" s="68">
        <f t="shared" si="18"/>
        <v>6838.0900000000065</v>
      </c>
      <c r="O35" s="68">
        <f t="shared" si="16"/>
        <v>6541.270000000005</v>
      </c>
      <c r="R35" s="124">
        <f t="shared" si="12"/>
        <v>521.091265746354</v>
      </c>
      <c r="S35" s="124">
        <f t="shared" si="12"/>
        <v>1243.0477208176553</v>
      </c>
      <c r="T35" s="124">
        <f t="shared" si="12"/>
        <v>520.62309481971522</v>
      </c>
      <c r="U35" s="124">
        <f t="shared" si="12"/>
        <v>6.5487181738328957</v>
      </c>
      <c r="V35" s="124">
        <f t="shared" si="12"/>
        <v>1.2229192083717408</v>
      </c>
      <c r="W35" s="124">
        <f t="shared" si="12"/>
        <v>4248.7362812340752</v>
      </c>
      <c r="X35" s="125"/>
      <c r="Y35" s="125"/>
      <c r="Z35" s="124">
        <f t="shared" si="13"/>
        <v>544.7365684931957</v>
      </c>
      <c r="AA35" s="124">
        <f t="shared" si="13"/>
        <v>1299.4528874738396</v>
      </c>
      <c r="AB35" s="124">
        <f t="shared" si="13"/>
        <v>544.24715360407799</v>
      </c>
      <c r="AC35" s="124">
        <f t="shared" si="13"/>
        <v>6.8458761459632447</v>
      </c>
      <c r="AD35" s="124">
        <f t="shared" si="13"/>
        <v>1.2784110133926163</v>
      </c>
      <c r="AE35" s="124">
        <f t="shared" si="13"/>
        <v>4441.5291032695368</v>
      </c>
    </row>
    <row r="36" spans="1:31" x14ac:dyDescent="0.25">
      <c r="A36" t="s">
        <v>441</v>
      </c>
      <c r="B36" s="68">
        <f>'CU and Skipjack 22'!N36</f>
        <v>334730.01999999984</v>
      </c>
      <c r="C36" s="68">
        <f t="shared" ref="C36:N36" si="19">B36+C53</f>
        <v>340413.31999999983</v>
      </c>
      <c r="D36" s="68">
        <f t="shared" si="19"/>
        <v>346096.61999999982</v>
      </c>
      <c r="E36" s="68">
        <f t="shared" si="19"/>
        <v>351779.91999999981</v>
      </c>
      <c r="F36" s="68">
        <f t="shared" si="19"/>
        <v>357463.2199999998</v>
      </c>
      <c r="G36" s="68">
        <f t="shared" si="19"/>
        <v>363146.51999999979</v>
      </c>
      <c r="H36" s="68">
        <f t="shared" si="19"/>
        <v>368829.81999999977</v>
      </c>
      <c r="I36" s="68">
        <f t="shared" si="19"/>
        <v>374513.11999999976</v>
      </c>
      <c r="J36" s="68">
        <f t="shared" si="19"/>
        <v>380196.41999999975</v>
      </c>
      <c r="K36" s="68">
        <f t="shared" si="19"/>
        <v>385879.71999999974</v>
      </c>
      <c r="L36" s="68">
        <f t="shared" si="19"/>
        <v>391563.01999999973</v>
      </c>
      <c r="M36" s="68">
        <f t="shared" si="19"/>
        <v>397246.31999999972</v>
      </c>
      <c r="N36" s="68">
        <f t="shared" si="19"/>
        <v>402929.6199999997</v>
      </c>
      <c r="O36" s="68">
        <f t="shared" si="16"/>
        <v>368829.81999999977</v>
      </c>
      <c r="R36" s="124">
        <f t="shared" si="12"/>
        <v>29381.755798002476</v>
      </c>
      <c r="S36" s="124">
        <f t="shared" si="12"/>
        <v>70089.304847619103</v>
      </c>
      <c r="T36" s="124">
        <f t="shared" si="12"/>
        <v>29355.357958041517</v>
      </c>
      <c r="U36" s="124">
        <f t="shared" si="12"/>
        <v>369.24978563574234</v>
      </c>
      <c r="V36" s="124">
        <f t="shared" si="12"/>
        <v>68.954357716206644</v>
      </c>
      <c r="W36" s="124">
        <f t="shared" si="12"/>
        <v>239565.19725298471</v>
      </c>
      <c r="X36" s="125"/>
      <c r="Y36" s="125"/>
      <c r="Z36" s="124">
        <f t="shared" si="13"/>
        <v>32098.217271645586</v>
      </c>
      <c r="AA36" s="124">
        <f t="shared" si="13"/>
        <v>76569.342924374505</v>
      </c>
      <c r="AB36" s="124">
        <f t="shared" si="13"/>
        <v>32069.378845229061</v>
      </c>
      <c r="AC36" s="124">
        <f t="shared" si="13"/>
        <v>403.38841314753535</v>
      </c>
      <c r="AD36" s="124">
        <f t="shared" si="13"/>
        <v>75.329465366805778</v>
      </c>
      <c r="AE36" s="124">
        <f t="shared" si="13"/>
        <v>261713.96308023619</v>
      </c>
    </row>
    <row r="37" spans="1:31" ht="15.75" thickBot="1" x14ac:dyDescent="0.3">
      <c r="A37" s="116" t="s">
        <v>443</v>
      </c>
      <c r="B37" s="117">
        <f t="shared" ref="B37:O37" si="20">B34+B23</f>
        <v>8597836.7232833337</v>
      </c>
      <c r="C37" s="117">
        <f t="shared" si="20"/>
        <v>8803952.6395500004</v>
      </c>
      <c r="D37" s="117">
        <f t="shared" si="20"/>
        <v>9013408.5558166672</v>
      </c>
      <c r="E37" s="117">
        <f t="shared" si="20"/>
        <v>9222864.4720833339</v>
      </c>
      <c r="F37" s="117">
        <f t="shared" si="20"/>
        <v>9432320.3883500025</v>
      </c>
      <c r="G37" s="117">
        <f t="shared" si="20"/>
        <v>9641776.3046166673</v>
      </c>
      <c r="H37" s="117">
        <f t="shared" si="20"/>
        <v>9854015.5542166661</v>
      </c>
      <c r="I37" s="117">
        <f t="shared" si="20"/>
        <v>10066254.803816665</v>
      </c>
      <c r="J37" s="117">
        <f t="shared" si="20"/>
        <v>10278494.053416666</v>
      </c>
      <c r="K37" s="117">
        <f t="shared" si="20"/>
        <v>10490733.303016668</v>
      </c>
      <c r="L37" s="117">
        <f t="shared" si="20"/>
        <v>10702972.552616667</v>
      </c>
      <c r="M37" s="117">
        <f t="shared" si="20"/>
        <v>10915211.802216668</v>
      </c>
      <c r="N37" s="117">
        <f t="shared" si="20"/>
        <v>11129079.301816666</v>
      </c>
      <c r="O37" s="117">
        <f t="shared" si="20"/>
        <v>9857609.2657551263</v>
      </c>
      <c r="R37" s="129">
        <f t="shared" si="12"/>
        <v>785277.79613520345</v>
      </c>
      <c r="S37" s="129">
        <f t="shared" si="12"/>
        <v>1873256.8339952182</v>
      </c>
      <c r="T37" s="129">
        <f t="shared" si="12"/>
        <v>784572.26860547427</v>
      </c>
      <c r="U37" s="129">
        <f t="shared" si="12"/>
        <v>9868.833567364456</v>
      </c>
      <c r="V37" s="129">
        <f t="shared" si="12"/>
        <v>1842.9234261412826</v>
      </c>
      <c r="W37" s="129">
        <f t="shared" si="12"/>
        <v>6402790.6100257244</v>
      </c>
      <c r="X37" s="125"/>
      <c r="Y37" s="125"/>
      <c r="Z37" s="129">
        <f t="shared" si="13"/>
        <v>886565.76169080194</v>
      </c>
      <c r="AA37" s="129">
        <f t="shared" si="13"/>
        <v>2114876.2642303617</v>
      </c>
      <c r="AB37" s="129">
        <f t="shared" si="13"/>
        <v>885769.23267283326</v>
      </c>
      <c r="AC37" s="129">
        <f t="shared" si="13"/>
        <v>11141.751354375261</v>
      </c>
      <c r="AD37" s="129">
        <f t="shared" si="13"/>
        <v>2080.6303439062985</v>
      </c>
      <c r="AE37" s="129">
        <f t="shared" si="13"/>
        <v>7228645.6615243871</v>
      </c>
    </row>
    <row r="38" spans="1:31" ht="15.75" thickTop="1" x14ac:dyDescent="0.25"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</row>
    <row r="39" spans="1:31" ht="15.75" x14ac:dyDescent="0.25">
      <c r="A39" s="112" t="s">
        <v>460</v>
      </c>
      <c r="O39" s="119" t="s">
        <v>32</v>
      </c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</row>
    <row r="40" spans="1:31" x14ac:dyDescent="0.25">
      <c r="A40" s="116" t="s">
        <v>454</v>
      </c>
      <c r="B40" s="117"/>
      <c r="C40" s="117">
        <f t="shared" ref="C40:O40" si="21">SUM(C41:C50)</f>
        <v>200383.14626666665</v>
      </c>
      <c r="D40" s="117">
        <f t="shared" si="21"/>
        <v>203723.14626666665</v>
      </c>
      <c r="E40" s="117">
        <f t="shared" si="21"/>
        <v>203723.14626666665</v>
      </c>
      <c r="F40" s="117">
        <f t="shared" si="21"/>
        <v>203723.14626666665</v>
      </c>
      <c r="G40" s="117">
        <f t="shared" si="21"/>
        <v>203723.14626666665</v>
      </c>
      <c r="H40" s="117">
        <f t="shared" si="21"/>
        <v>206506.47959999996</v>
      </c>
      <c r="I40" s="117">
        <f t="shared" si="21"/>
        <v>206506.47959999996</v>
      </c>
      <c r="J40" s="117">
        <f t="shared" si="21"/>
        <v>206506.47959999996</v>
      </c>
      <c r="K40" s="117">
        <f t="shared" si="21"/>
        <v>206506.47959999996</v>
      </c>
      <c r="L40" s="117">
        <f t="shared" si="21"/>
        <v>206506.47959999996</v>
      </c>
      <c r="M40" s="117">
        <f t="shared" si="21"/>
        <v>206506.47959999996</v>
      </c>
      <c r="N40" s="117">
        <f t="shared" si="21"/>
        <v>208134.72959999996</v>
      </c>
      <c r="O40" s="117">
        <f t="shared" si="21"/>
        <v>2462449.3385333335</v>
      </c>
      <c r="R40" s="125"/>
      <c r="S40" s="125"/>
      <c r="T40" s="125"/>
      <c r="U40" s="125"/>
      <c r="V40" s="125"/>
      <c r="W40" s="125"/>
      <c r="X40" s="125"/>
      <c r="Y40" s="125"/>
      <c r="Z40" s="122">
        <f>$O40*Z$3</f>
        <v>196163.87072427923</v>
      </c>
      <c r="AA40" s="122">
        <f t="shared" ref="AA40:AE54" si="22">$O40*AA$3</f>
        <v>467943.08106725465</v>
      </c>
      <c r="AB40" s="122">
        <f t="shared" si="22"/>
        <v>195987.62862012786</v>
      </c>
      <c r="AC40" s="122">
        <f t="shared" si="22"/>
        <v>2465.2531901902871</v>
      </c>
      <c r="AD40" s="122">
        <f t="shared" si="22"/>
        <v>460.36573872270964</v>
      </c>
      <c r="AE40" s="122">
        <f t="shared" si="22"/>
        <v>1599429.1391927586</v>
      </c>
    </row>
    <row r="41" spans="1:31" x14ac:dyDescent="0.25">
      <c r="A41" t="s">
        <v>455</v>
      </c>
      <c r="B41" s="118"/>
      <c r="C41" s="118">
        <f>'CU and Skipjack 22'!C41</f>
        <v>0</v>
      </c>
      <c r="D41" s="118">
        <f>C41</f>
        <v>0</v>
      </c>
      <c r="E41" s="118">
        <f t="shared" ref="E41:N41" si="23">D41</f>
        <v>0</v>
      </c>
      <c r="F41" s="118">
        <f t="shared" si="23"/>
        <v>0</v>
      </c>
      <c r="G41" s="118">
        <f t="shared" si="23"/>
        <v>0</v>
      </c>
      <c r="H41" s="118">
        <f t="shared" si="23"/>
        <v>0</v>
      </c>
      <c r="I41" s="118">
        <f t="shared" si="23"/>
        <v>0</v>
      </c>
      <c r="J41" s="118">
        <f t="shared" si="23"/>
        <v>0</v>
      </c>
      <c r="K41" s="118">
        <f t="shared" si="23"/>
        <v>0</v>
      </c>
      <c r="L41" s="118">
        <f t="shared" si="23"/>
        <v>0</v>
      </c>
      <c r="M41" s="118">
        <f t="shared" si="23"/>
        <v>0</v>
      </c>
      <c r="N41" s="118">
        <f t="shared" si="23"/>
        <v>0</v>
      </c>
      <c r="O41" s="118">
        <f>SUM(C41:N41)</f>
        <v>0</v>
      </c>
      <c r="P41" s="118"/>
      <c r="Q41" s="118"/>
      <c r="R41" s="124"/>
      <c r="S41" s="124"/>
      <c r="T41" s="124"/>
      <c r="U41" s="124"/>
      <c r="V41" s="124"/>
      <c r="W41" s="124"/>
      <c r="X41" s="125"/>
      <c r="Y41" s="125"/>
      <c r="Z41" s="124">
        <f t="shared" ref="Z41:Z54" si="24">$O41*Z$3</f>
        <v>0</v>
      </c>
      <c r="AA41" s="124">
        <f t="shared" si="22"/>
        <v>0</v>
      </c>
      <c r="AB41" s="124">
        <f t="shared" si="22"/>
        <v>0</v>
      </c>
      <c r="AC41" s="124">
        <f t="shared" si="22"/>
        <v>0</v>
      </c>
      <c r="AD41" s="124">
        <f t="shared" si="22"/>
        <v>0</v>
      </c>
      <c r="AE41" s="124">
        <f t="shared" si="22"/>
        <v>0</v>
      </c>
    </row>
    <row r="42" spans="1:31" x14ac:dyDescent="0.25">
      <c r="A42" t="s">
        <v>434</v>
      </c>
      <c r="B42" s="118"/>
      <c r="C42" s="118">
        <f>'CU and Skipjack 22'!C42</f>
        <v>21615.870000000003</v>
      </c>
      <c r="D42" s="118">
        <f t="shared" ref="D42:N50" si="25">C42</f>
        <v>21615.870000000003</v>
      </c>
      <c r="E42" s="118">
        <f t="shared" si="25"/>
        <v>21615.870000000003</v>
      </c>
      <c r="F42" s="118">
        <f t="shared" si="25"/>
        <v>21615.870000000003</v>
      </c>
      <c r="G42" s="118">
        <f t="shared" si="25"/>
        <v>21615.870000000003</v>
      </c>
      <c r="H42" s="118">
        <f t="shared" si="25"/>
        <v>21615.870000000003</v>
      </c>
      <c r="I42" s="118">
        <f t="shared" si="25"/>
        <v>21615.870000000003</v>
      </c>
      <c r="J42" s="118">
        <f t="shared" si="25"/>
        <v>21615.870000000003</v>
      </c>
      <c r="K42" s="118">
        <f t="shared" si="25"/>
        <v>21615.870000000003</v>
      </c>
      <c r="L42" s="118">
        <f t="shared" si="25"/>
        <v>21615.870000000003</v>
      </c>
      <c r="M42" s="118">
        <f t="shared" si="25"/>
        <v>21615.870000000003</v>
      </c>
      <c r="N42" s="118">
        <f t="shared" si="25"/>
        <v>21615.870000000003</v>
      </c>
      <c r="O42" s="118">
        <f t="shared" ref="O42:O53" si="26">SUM(C42:N42)</f>
        <v>259390.43999999997</v>
      </c>
      <c r="P42" s="118"/>
      <c r="Q42" s="118"/>
      <c r="R42" s="125"/>
      <c r="S42" s="125"/>
      <c r="T42" s="125"/>
      <c r="U42" s="125"/>
      <c r="V42" s="125"/>
      <c r="W42" s="125"/>
      <c r="X42" s="125"/>
      <c r="Y42" s="125"/>
      <c r="Z42" s="124">
        <f t="shared" si="24"/>
        <v>20663.585619016427</v>
      </c>
      <c r="AA42" s="124">
        <f t="shared" si="22"/>
        <v>49292.369103230485</v>
      </c>
      <c r="AB42" s="124">
        <f t="shared" si="22"/>
        <v>20645.020560143144</v>
      </c>
      <c r="AC42" s="124">
        <f t="shared" si="22"/>
        <v>259.68579320934771</v>
      </c>
      <c r="AD42" s="124">
        <f t="shared" si="22"/>
        <v>48.494184087187548</v>
      </c>
      <c r="AE42" s="124">
        <f t="shared" si="22"/>
        <v>168481.28474031336</v>
      </c>
    </row>
    <row r="43" spans="1:31" x14ac:dyDescent="0.25">
      <c r="A43" t="s">
        <v>456</v>
      </c>
      <c r="B43" s="118"/>
      <c r="C43" s="118">
        <f>'CU and Skipjack 22'!C43</f>
        <v>3549.02</v>
      </c>
      <c r="D43" s="118">
        <f t="shared" si="25"/>
        <v>3549.02</v>
      </c>
      <c r="E43" s="118">
        <f t="shared" si="25"/>
        <v>3549.02</v>
      </c>
      <c r="F43" s="118">
        <f t="shared" si="25"/>
        <v>3549.02</v>
      </c>
      <c r="G43" s="118">
        <f t="shared" si="25"/>
        <v>3549.02</v>
      </c>
      <c r="H43" s="118">
        <f t="shared" si="25"/>
        <v>3549.02</v>
      </c>
      <c r="I43" s="118">
        <f t="shared" si="25"/>
        <v>3549.02</v>
      </c>
      <c r="J43" s="118">
        <f t="shared" si="25"/>
        <v>3549.02</v>
      </c>
      <c r="K43" s="118">
        <f t="shared" si="25"/>
        <v>3549.02</v>
      </c>
      <c r="L43" s="118">
        <f t="shared" si="25"/>
        <v>3549.02</v>
      </c>
      <c r="M43" s="118">
        <f t="shared" si="25"/>
        <v>3549.02</v>
      </c>
      <c r="N43" s="118">
        <f t="shared" si="25"/>
        <v>3549.02</v>
      </c>
      <c r="O43" s="118">
        <f t="shared" si="26"/>
        <v>42588.239999999991</v>
      </c>
      <c r="P43" s="118"/>
      <c r="Q43" s="118"/>
      <c r="R43" s="125"/>
      <c r="S43" s="125"/>
      <c r="T43" s="125"/>
      <c r="U43" s="125"/>
      <c r="V43" s="125"/>
      <c r="W43" s="125"/>
      <c r="X43" s="125"/>
      <c r="Y43" s="125"/>
      <c r="Z43" s="124">
        <f t="shared" si="24"/>
        <v>3392.6683790012462</v>
      </c>
      <c r="AA43" s="124">
        <f t="shared" si="22"/>
        <v>8093.1095438095736</v>
      </c>
      <c r="AB43" s="124">
        <f t="shared" si="22"/>
        <v>3389.6202590207663</v>
      </c>
      <c r="AC43" s="124">
        <f t="shared" si="22"/>
        <v>42.63673281787127</v>
      </c>
      <c r="AD43" s="124">
        <f t="shared" si="22"/>
        <v>7.9620588581033438</v>
      </c>
      <c r="AE43" s="124">
        <f t="shared" si="22"/>
        <v>27662.24302649243</v>
      </c>
    </row>
    <row r="44" spans="1:31" x14ac:dyDescent="0.25">
      <c r="A44" t="s">
        <v>435</v>
      </c>
      <c r="B44" s="118"/>
      <c r="C44" s="118">
        <f>'CU and Skipjack 22'!C44</f>
        <v>10487.479999999998</v>
      </c>
      <c r="D44" s="118">
        <f t="shared" si="25"/>
        <v>10487.479999999998</v>
      </c>
      <c r="E44" s="118">
        <f t="shared" si="25"/>
        <v>10487.479999999998</v>
      </c>
      <c r="F44" s="118">
        <f t="shared" si="25"/>
        <v>10487.479999999998</v>
      </c>
      <c r="G44" s="118">
        <f t="shared" si="25"/>
        <v>10487.479999999998</v>
      </c>
      <c r="H44" s="118">
        <f t="shared" si="25"/>
        <v>10487.479999999998</v>
      </c>
      <c r="I44" s="118">
        <f t="shared" si="25"/>
        <v>10487.479999999998</v>
      </c>
      <c r="J44" s="118">
        <f t="shared" si="25"/>
        <v>10487.479999999998</v>
      </c>
      <c r="K44" s="118">
        <f t="shared" si="25"/>
        <v>10487.479999999998</v>
      </c>
      <c r="L44" s="118">
        <f t="shared" si="25"/>
        <v>10487.479999999998</v>
      </c>
      <c r="M44" s="118">
        <f t="shared" si="25"/>
        <v>10487.479999999998</v>
      </c>
      <c r="N44" s="118">
        <f t="shared" si="25"/>
        <v>10487.479999999998</v>
      </c>
      <c r="O44" s="118">
        <f t="shared" si="26"/>
        <v>125849.75999999997</v>
      </c>
      <c r="P44" s="118"/>
      <c r="Q44" s="118"/>
      <c r="R44" s="125"/>
      <c r="S44" s="125"/>
      <c r="T44" s="125"/>
      <c r="U44" s="125"/>
      <c r="V44" s="125"/>
      <c r="W44" s="125"/>
      <c r="X44" s="125"/>
      <c r="Y44" s="125"/>
      <c r="Z44" s="124">
        <f t="shared" si="24"/>
        <v>10025.455413440326</v>
      </c>
      <c r="AA44" s="124">
        <f t="shared" si="22"/>
        <v>23915.425801633133</v>
      </c>
      <c r="AB44" s="124">
        <f t="shared" si="22"/>
        <v>10016.448110767227</v>
      </c>
      <c r="AC44" s="124">
        <f t="shared" si="22"/>
        <v>125.99305799707203</v>
      </c>
      <c r="AD44" s="124">
        <f t="shared" si="22"/>
        <v>23.528166376402964</v>
      </c>
      <c r="AE44" s="124">
        <f t="shared" si="22"/>
        <v>81742.909449785802</v>
      </c>
    </row>
    <row r="45" spans="1:31" x14ac:dyDescent="0.25">
      <c r="A45" t="s">
        <v>457</v>
      </c>
      <c r="B45" s="118"/>
      <c r="C45" s="118">
        <f>'CU and Skipjack 22'!C45</f>
        <v>65613.72626666665</v>
      </c>
      <c r="D45" s="118">
        <f>C45+(1200000*0.0334/12)</f>
        <v>68953.72626666665</v>
      </c>
      <c r="E45" s="118">
        <f t="shared" si="25"/>
        <v>68953.72626666665</v>
      </c>
      <c r="F45" s="118">
        <f t="shared" si="25"/>
        <v>68953.72626666665</v>
      </c>
      <c r="G45" s="118">
        <f t="shared" si="25"/>
        <v>68953.72626666665</v>
      </c>
      <c r="H45" s="118">
        <f>G45+(1000000*0.0334/12)</f>
        <v>71737.059599999979</v>
      </c>
      <c r="I45" s="118">
        <f t="shared" si="25"/>
        <v>71737.059599999979</v>
      </c>
      <c r="J45" s="118">
        <f t="shared" si="25"/>
        <v>71737.059599999979</v>
      </c>
      <c r="K45" s="118">
        <f t="shared" si="25"/>
        <v>71737.059599999979</v>
      </c>
      <c r="L45" s="118">
        <f t="shared" si="25"/>
        <v>71737.059599999979</v>
      </c>
      <c r="M45" s="118">
        <f t="shared" si="25"/>
        <v>71737.059599999979</v>
      </c>
      <c r="N45" s="118">
        <f>M45+(585000*0.0334/12)</f>
        <v>73365.309599999979</v>
      </c>
      <c r="O45" s="118">
        <f t="shared" si="26"/>
        <v>845216.29853333323</v>
      </c>
      <c r="P45" s="118"/>
      <c r="Q45" s="118"/>
      <c r="R45" s="125"/>
      <c r="S45" s="125"/>
      <c r="T45" s="125"/>
      <c r="U45" s="125"/>
      <c r="V45" s="125"/>
      <c r="W45" s="125"/>
      <c r="X45" s="125"/>
      <c r="Y45" s="125"/>
      <c r="Z45" s="124">
        <f t="shared" si="24"/>
        <v>67331.700240501086</v>
      </c>
      <c r="AA45" s="124">
        <f t="shared" si="22"/>
        <v>160617.76894850601</v>
      </c>
      <c r="AB45" s="124">
        <f t="shared" si="22"/>
        <v>67271.206529387709</v>
      </c>
      <c r="AC45" s="124">
        <f t="shared" si="22"/>
        <v>846.17869848286421</v>
      </c>
      <c r="AD45" s="124">
        <f t="shared" si="22"/>
        <v>158.01690599918305</v>
      </c>
      <c r="AE45" s="124">
        <f t="shared" si="22"/>
        <v>548991.42721045634</v>
      </c>
    </row>
    <row r="46" spans="1:31" x14ac:dyDescent="0.25">
      <c r="A46" t="s">
        <v>436</v>
      </c>
      <c r="B46" s="118"/>
      <c r="C46" s="118">
        <f>'CU and Skipjack 22'!C46</f>
        <v>12997.810000000001</v>
      </c>
      <c r="D46" s="118">
        <f t="shared" si="25"/>
        <v>12997.810000000001</v>
      </c>
      <c r="E46" s="118">
        <f t="shared" si="25"/>
        <v>12997.810000000001</v>
      </c>
      <c r="F46" s="118">
        <f t="shared" si="25"/>
        <v>12997.810000000001</v>
      </c>
      <c r="G46" s="118">
        <f t="shared" si="25"/>
        <v>12997.810000000001</v>
      </c>
      <c r="H46" s="118">
        <f t="shared" si="25"/>
        <v>12997.810000000001</v>
      </c>
      <c r="I46" s="118">
        <f t="shared" si="25"/>
        <v>12997.810000000001</v>
      </c>
      <c r="J46" s="118">
        <f t="shared" si="25"/>
        <v>12997.810000000001</v>
      </c>
      <c r="K46" s="118">
        <f t="shared" si="25"/>
        <v>12997.810000000001</v>
      </c>
      <c r="L46" s="118">
        <f t="shared" si="25"/>
        <v>12997.810000000001</v>
      </c>
      <c r="M46" s="118">
        <f t="shared" si="25"/>
        <v>12997.810000000001</v>
      </c>
      <c r="N46" s="118">
        <f t="shared" si="25"/>
        <v>12997.810000000001</v>
      </c>
      <c r="O46" s="118">
        <f t="shared" si="26"/>
        <v>155973.72</v>
      </c>
      <c r="P46" s="118"/>
      <c r="Q46" s="118"/>
      <c r="R46" s="125"/>
      <c r="S46" s="125"/>
      <c r="T46" s="125"/>
      <c r="U46" s="125"/>
      <c r="V46" s="125"/>
      <c r="W46" s="125"/>
      <c r="X46" s="125"/>
      <c r="Y46" s="125"/>
      <c r="Z46" s="124">
        <f t="shared" si="24"/>
        <v>12425.193147197311</v>
      </c>
      <c r="AA46" s="124">
        <f t="shared" si="22"/>
        <v>29639.928814045437</v>
      </c>
      <c r="AB46" s="124">
        <f t="shared" si="22"/>
        <v>12414.029816372607</v>
      </c>
      <c r="AC46" s="124">
        <f t="shared" si="22"/>
        <v>156.15131844493845</v>
      </c>
      <c r="AD46" s="124">
        <f t="shared" si="22"/>
        <v>29.159973245133656</v>
      </c>
      <c r="AE46" s="124">
        <f t="shared" si="22"/>
        <v>101309.25693069457</v>
      </c>
    </row>
    <row r="47" spans="1:31" x14ac:dyDescent="0.25">
      <c r="A47" t="s">
        <v>437</v>
      </c>
      <c r="B47" s="118"/>
      <c r="C47" s="118">
        <f>'CU and Skipjack 22'!C47</f>
        <v>1595.98</v>
      </c>
      <c r="D47" s="118">
        <f t="shared" si="25"/>
        <v>1595.98</v>
      </c>
      <c r="E47" s="118">
        <f t="shared" si="25"/>
        <v>1595.98</v>
      </c>
      <c r="F47" s="118">
        <f t="shared" si="25"/>
        <v>1595.98</v>
      </c>
      <c r="G47" s="118">
        <f t="shared" si="25"/>
        <v>1595.98</v>
      </c>
      <c r="H47" s="118">
        <f t="shared" si="25"/>
        <v>1595.98</v>
      </c>
      <c r="I47" s="118">
        <f t="shared" si="25"/>
        <v>1595.98</v>
      </c>
      <c r="J47" s="118">
        <f t="shared" si="25"/>
        <v>1595.98</v>
      </c>
      <c r="K47" s="118">
        <f t="shared" si="25"/>
        <v>1595.98</v>
      </c>
      <c r="L47" s="118">
        <f t="shared" si="25"/>
        <v>1595.98</v>
      </c>
      <c r="M47" s="118">
        <f t="shared" si="25"/>
        <v>1595.98</v>
      </c>
      <c r="N47" s="118">
        <f t="shared" si="25"/>
        <v>1595.98</v>
      </c>
      <c r="O47" s="118">
        <f t="shared" si="26"/>
        <v>19151.759999999998</v>
      </c>
      <c r="P47" s="118"/>
      <c r="Q47" s="118"/>
      <c r="R47" s="125"/>
      <c r="S47" s="125"/>
      <c r="T47" s="125"/>
      <c r="U47" s="125"/>
      <c r="V47" s="125"/>
      <c r="W47" s="125"/>
      <c r="X47" s="125"/>
      <c r="Y47" s="125"/>
      <c r="Z47" s="124">
        <f t="shared" si="24"/>
        <v>1525.6693057571977</v>
      </c>
      <c r="AA47" s="124">
        <f t="shared" si="22"/>
        <v>3639.43876611831</v>
      </c>
      <c r="AB47" s="124">
        <f t="shared" si="22"/>
        <v>1524.2985784785556</v>
      </c>
      <c r="AC47" s="124">
        <f t="shared" si="22"/>
        <v>19.17356702488749</v>
      </c>
      <c r="AD47" s="124">
        <f t="shared" si="22"/>
        <v>3.5805058005747434</v>
      </c>
      <c r="AE47" s="124">
        <f t="shared" si="22"/>
        <v>12439.599276820472</v>
      </c>
    </row>
    <row r="48" spans="1:31" x14ac:dyDescent="0.25">
      <c r="A48" t="s">
        <v>438</v>
      </c>
      <c r="B48" s="118"/>
      <c r="C48" s="118">
        <f>'CU and Skipjack 22'!C48</f>
        <v>64898.66</v>
      </c>
      <c r="D48" s="118">
        <f t="shared" si="25"/>
        <v>64898.66</v>
      </c>
      <c r="E48" s="118">
        <f t="shared" si="25"/>
        <v>64898.66</v>
      </c>
      <c r="F48" s="118">
        <f t="shared" si="25"/>
        <v>64898.66</v>
      </c>
      <c r="G48" s="118">
        <f t="shared" si="25"/>
        <v>64898.66</v>
      </c>
      <c r="H48" s="118">
        <f t="shared" si="25"/>
        <v>64898.66</v>
      </c>
      <c r="I48" s="118">
        <f t="shared" si="25"/>
        <v>64898.66</v>
      </c>
      <c r="J48" s="118">
        <f t="shared" si="25"/>
        <v>64898.66</v>
      </c>
      <c r="K48" s="118">
        <f t="shared" si="25"/>
        <v>64898.66</v>
      </c>
      <c r="L48" s="118">
        <f t="shared" si="25"/>
        <v>64898.66</v>
      </c>
      <c r="M48" s="118">
        <f t="shared" si="25"/>
        <v>64898.66</v>
      </c>
      <c r="N48" s="118">
        <f t="shared" si="25"/>
        <v>64898.66</v>
      </c>
      <c r="O48" s="118">
        <f t="shared" si="26"/>
        <v>778783.92000000027</v>
      </c>
      <c r="P48" s="118"/>
      <c r="Q48" s="118"/>
      <c r="R48" s="125"/>
      <c r="S48" s="125"/>
      <c r="T48" s="125"/>
      <c r="U48" s="125"/>
      <c r="V48" s="125"/>
      <c r="W48" s="125"/>
      <c r="X48" s="125"/>
      <c r="Y48" s="125"/>
      <c r="Z48" s="124">
        <f t="shared" si="24"/>
        <v>62039.557855845596</v>
      </c>
      <c r="AA48" s="124">
        <f t="shared" si="22"/>
        <v>147993.5206413187</v>
      </c>
      <c r="AB48" s="124">
        <f t="shared" si="22"/>
        <v>61983.81883429813</v>
      </c>
      <c r="AC48" s="124">
        <f t="shared" si="22"/>
        <v>779.67067716098279</v>
      </c>
      <c r="AD48" s="124">
        <f t="shared" si="22"/>
        <v>145.59708052702928</v>
      </c>
      <c r="AE48" s="124">
        <f t="shared" si="22"/>
        <v>505841.75491084979</v>
      </c>
    </row>
    <row r="49" spans="1:31" x14ac:dyDescent="0.25">
      <c r="A49" t="s">
        <v>458</v>
      </c>
      <c r="B49" s="118"/>
      <c r="C49" s="118">
        <f>'CU and Skipjack 22'!C49</f>
        <v>15067.77</v>
      </c>
      <c r="D49" s="118">
        <f t="shared" si="25"/>
        <v>15067.77</v>
      </c>
      <c r="E49" s="118">
        <f t="shared" si="25"/>
        <v>15067.77</v>
      </c>
      <c r="F49" s="118">
        <f t="shared" si="25"/>
        <v>15067.77</v>
      </c>
      <c r="G49" s="118">
        <f t="shared" si="25"/>
        <v>15067.77</v>
      </c>
      <c r="H49" s="118">
        <f t="shared" si="25"/>
        <v>15067.77</v>
      </c>
      <c r="I49" s="118">
        <f t="shared" si="25"/>
        <v>15067.77</v>
      </c>
      <c r="J49" s="118">
        <f t="shared" si="25"/>
        <v>15067.77</v>
      </c>
      <c r="K49" s="118">
        <f t="shared" si="25"/>
        <v>15067.77</v>
      </c>
      <c r="L49" s="118">
        <f t="shared" si="25"/>
        <v>15067.77</v>
      </c>
      <c r="M49" s="118">
        <f t="shared" si="25"/>
        <v>15067.77</v>
      </c>
      <c r="N49" s="118">
        <f t="shared" si="25"/>
        <v>15067.77</v>
      </c>
      <c r="O49" s="118">
        <f t="shared" si="26"/>
        <v>180813.24</v>
      </c>
      <c r="P49" s="118"/>
      <c r="Q49" s="118"/>
      <c r="R49" s="125"/>
      <c r="S49" s="125"/>
      <c r="T49" s="125"/>
      <c r="U49" s="125"/>
      <c r="V49" s="125"/>
      <c r="W49" s="125"/>
      <c r="X49" s="125"/>
      <c r="Y49" s="125"/>
      <c r="Z49" s="124">
        <f t="shared" si="24"/>
        <v>14403.961324834354</v>
      </c>
      <c r="AA49" s="124">
        <f t="shared" si="22"/>
        <v>34360.221467032476</v>
      </c>
      <c r="AB49" s="124">
        <f t="shared" si="22"/>
        <v>14391.020183111208</v>
      </c>
      <c r="AC49" s="124">
        <f t="shared" si="22"/>
        <v>181.01912180014097</v>
      </c>
      <c r="AD49" s="124">
        <f t="shared" si="22"/>
        <v>33.803830804099114</v>
      </c>
      <c r="AE49" s="124">
        <f t="shared" si="22"/>
        <v>117443.2140724177</v>
      </c>
    </row>
    <row r="50" spans="1:31" x14ac:dyDescent="0.25">
      <c r="A50" t="s">
        <v>441</v>
      </c>
      <c r="B50" s="118"/>
      <c r="C50" s="118">
        <f>'CU and Skipjack 22'!C50</f>
        <v>4556.83</v>
      </c>
      <c r="D50" s="118">
        <f t="shared" si="25"/>
        <v>4556.83</v>
      </c>
      <c r="E50" s="118">
        <f t="shared" si="25"/>
        <v>4556.83</v>
      </c>
      <c r="F50" s="118">
        <f t="shared" si="25"/>
        <v>4556.83</v>
      </c>
      <c r="G50" s="118">
        <f t="shared" si="25"/>
        <v>4556.83</v>
      </c>
      <c r="H50" s="118">
        <f t="shared" si="25"/>
        <v>4556.83</v>
      </c>
      <c r="I50" s="118">
        <f t="shared" si="25"/>
        <v>4556.83</v>
      </c>
      <c r="J50" s="118">
        <f t="shared" si="25"/>
        <v>4556.83</v>
      </c>
      <c r="K50" s="118">
        <f t="shared" si="25"/>
        <v>4556.83</v>
      </c>
      <c r="L50" s="118">
        <f t="shared" si="25"/>
        <v>4556.83</v>
      </c>
      <c r="M50" s="118">
        <f t="shared" si="25"/>
        <v>4556.83</v>
      </c>
      <c r="N50" s="118">
        <f t="shared" si="25"/>
        <v>4556.83</v>
      </c>
      <c r="O50" s="118">
        <f t="shared" si="26"/>
        <v>54681.960000000014</v>
      </c>
      <c r="P50" s="118"/>
      <c r="Q50" s="118"/>
      <c r="R50" s="125"/>
      <c r="S50" s="125"/>
      <c r="T50" s="125"/>
      <c r="U50" s="125"/>
      <c r="V50" s="125"/>
      <c r="W50" s="125"/>
      <c r="X50" s="125"/>
      <c r="Y50" s="125"/>
      <c r="Z50" s="124">
        <f t="shared" si="24"/>
        <v>4356.0794386856815</v>
      </c>
      <c r="AA50" s="124">
        <f t="shared" si="22"/>
        <v>10391.297981560487</v>
      </c>
      <c r="AB50" s="124">
        <f t="shared" si="22"/>
        <v>4352.1657485485021</v>
      </c>
      <c r="AC50" s="124">
        <f t="shared" si="22"/>
        <v>54.744223252182415</v>
      </c>
      <c r="AD50" s="124">
        <f t="shared" si="22"/>
        <v>10.223033024995937</v>
      </c>
      <c r="AE50" s="124">
        <f t="shared" si="22"/>
        <v>35517.449574928163</v>
      </c>
    </row>
    <row r="51" spans="1:31" x14ac:dyDescent="0.25">
      <c r="A51" s="116" t="s">
        <v>461</v>
      </c>
      <c r="B51" s="120"/>
      <c r="C51" s="117">
        <f t="shared" ref="C51:P51" si="27">SUM(C52:C53)</f>
        <v>5732.77</v>
      </c>
      <c r="D51" s="117">
        <f t="shared" si="27"/>
        <v>5732.77</v>
      </c>
      <c r="E51" s="117">
        <f t="shared" si="27"/>
        <v>5732.77</v>
      </c>
      <c r="F51" s="117">
        <f t="shared" si="27"/>
        <v>5732.77</v>
      </c>
      <c r="G51" s="117">
        <f t="shared" si="27"/>
        <v>5732.77</v>
      </c>
      <c r="H51" s="117">
        <f t="shared" si="27"/>
        <v>5732.77</v>
      </c>
      <c r="I51" s="117">
        <f t="shared" si="27"/>
        <v>5732.77</v>
      </c>
      <c r="J51" s="117">
        <f t="shared" si="27"/>
        <v>5732.77</v>
      </c>
      <c r="K51" s="117">
        <f t="shared" si="27"/>
        <v>5732.77</v>
      </c>
      <c r="L51" s="117">
        <f t="shared" si="27"/>
        <v>5732.77</v>
      </c>
      <c r="M51" s="117">
        <f t="shared" si="27"/>
        <v>5732.77</v>
      </c>
      <c r="N51" s="117">
        <f t="shared" si="27"/>
        <v>5732.77</v>
      </c>
      <c r="O51" s="117">
        <f t="shared" si="27"/>
        <v>68793.24000000002</v>
      </c>
      <c r="P51" s="117">
        <f t="shared" si="27"/>
        <v>0</v>
      </c>
      <c r="Q51" s="118"/>
      <c r="R51" s="125"/>
      <c r="S51" s="125"/>
      <c r="T51" s="125"/>
      <c r="U51" s="125"/>
      <c r="V51" s="125"/>
      <c r="W51" s="125"/>
      <c r="X51" s="125"/>
      <c r="Y51" s="125"/>
      <c r="Z51" s="126">
        <f t="shared" si="24"/>
        <v>5480.2135527799182</v>
      </c>
      <c r="AA51" s="126">
        <f t="shared" si="22"/>
        <v>13072.886486823189</v>
      </c>
      <c r="AB51" s="126">
        <f t="shared" si="22"/>
        <v>5475.2898919438285</v>
      </c>
      <c r="AC51" s="126">
        <f t="shared" si="22"/>
        <v>68.871570967846893</v>
      </c>
      <c r="AD51" s="126">
        <f t="shared" si="22"/>
        <v>12.861198911240042</v>
      </c>
      <c r="AE51" s="126">
        <f t="shared" si="22"/>
        <v>44683.117298573998</v>
      </c>
    </row>
    <row r="52" spans="1:31" x14ac:dyDescent="0.25">
      <c r="A52" t="s">
        <v>435</v>
      </c>
      <c r="B52" s="118"/>
      <c r="C52" s="118">
        <f>'CU and Skipjack 22'!C52</f>
        <v>49.47</v>
      </c>
      <c r="D52" s="118">
        <f t="shared" ref="D52:N52" si="28">C52</f>
        <v>49.47</v>
      </c>
      <c r="E52" s="118">
        <f t="shared" si="28"/>
        <v>49.47</v>
      </c>
      <c r="F52" s="118">
        <f t="shared" si="28"/>
        <v>49.47</v>
      </c>
      <c r="G52" s="118">
        <f t="shared" si="28"/>
        <v>49.47</v>
      </c>
      <c r="H52" s="118">
        <f t="shared" si="28"/>
        <v>49.47</v>
      </c>
      <c r="I52" s="118">
        <f t="shared" si="28"/>
        <v>49.47</v>
      </c>
      <c r="J52" s="118">
        <f t="shared" si="28"/>
        <v>49.47</v>
      </c>
      <c r="K52" s="118">
        <f t="shared" si="28"/>
        <v>49.47</v>
      </c>
      <c r="L52" s="118">
        <f t="shared" si="28"/>
        <v>49.47</v>
      </c>
      <c r="M52" s="118">
        <f t="shared" si="28"/>
        <v>49.47</v>
      </c>
      <c r="N52" s="118">
        <f t="shared" si="28"/>
        <v>49.47</v>
      </c>
      <c r="O52" s="118">
        <f t="shared" si="26"/>
        <v>593.6400000000001</v>
      </c>
      <c r="P52" s="118"/>
      <c r="Q52" s="118"/>
      <c r="R52" s="125"/>
      <c r="S52" s="125"/>
      <c r="T52" s="125"/>
      <c r="U52" s="125"/>
      <c r="V52" s="125"/>
      <c r="W52" s="125"/>
      <c r="X52" s="125"/>
      <c r="Y52" s="125"/>
      <c r="Z52" s="124">
        <f t="shared" si="24"/>
        <v>47.290605493683245</v>
      </c>
      <c r="AA52" s="124">
        <f t="shared" si="22"/>
        <v>112.81033331236785</v>
      </c>
      <c r="AB52" s="124">
        <f t="shared" si="22"/>
        <v>47.24811756872527</v>
      </c>
      <c r="AC52" s="124">
        <f t="shared" si="22"/>
        <v>0.59431594426069523</v>
      </c>
      <c r="AD52" s="124">
        <f t="shared" si="22"/>
        <v>0.11098361004175028</v>
      </c>
      <c r="AE52" s="124">
        <f t="shared" si="22"/>
        <v>385.58564407092126</v>
      </c>
    </row>
    <row r="53" spans="1:31" x14ac:dyDescent="0.25">
      <c r="A53" t="s">
        <v>441</v>
      </c>
      <c r="B53" s="118"/>
      <c r="C53" s="118">
        <f>'CU and Skipjack 22'!C53</f>
        <v>5683.3</v>
      </c>
      <c r="D53" s="118">
        <f t="shared" ref="D53:N53" si="29">C53</f>
        <v>5683.3</v>
      </c>
      <c r="E53" s="118">
        <f t="shared" si="29"/>
        <v>5683.3</v>
      </c>
      <c r="F53" s="118">
        <f t="shared" si="29"/>
        <v>5683.3</v>
      </c>
      <c r="G53" s="118">
        <f t="shared" si="29"/>
        <v>5683.3</v>
      </c>
      <c r="H53" s="118">
        <f t="shared" si="29"/>
        <v>5683.3</v>
      </c>
      <c r="I53" s="118">
        <f t="shared" si="29"/>
        <v>5683.3</v>
      </c>
      <c r="J53" s="118">
        <f t="shared" si="29"/>
        <v>5683.3</v>
      </c>
      <c r="K53" s="118">
        <f t="shared" si="29"/>
        <v>5683.3</v>
      </c>
      <c r="L53" s="118">
        <f t="shared" si="29"/>
        <v>5683.3</v>
      </c>
      <c r="M53" s="118">
        <f t="shared" si="29"/>
        <v>5683.3</v>
      </c>
      <c r="N53" s="118">
        <f t="shared" si="29"/>
        <v>5683.3</v>
      </c>
      <c r="O53" s="118">
        <f t="shared" si="26"/>
        <v>68199.60000000002</v>
      </c>
      <c r="P53" s="118"/>
      <c r="Q53" s="118"/>
      <c r="R53" s="125"/>
      <c r="S53" s="125"/>
      <c r="T53" s="125"/>
      <c r="U53" s="125"/>
      <c r="V53" s="125"/>
      <c r="W53" s="125"/>
      <c r="X53" s="125"/>
      <c r="Y53" s="125"/>
      <c r="Z53" s="124">
        <f t="shared" si="24"/>
        <v>5432.9229472862344</v>
      </c>
      <c r="AA53" s="124">
        <f t="shared" si="22"/>
        <v>12960.076153510821</v>
      </c>
      <c r="AB53" s="124">
        <f t="shared" si="22"/>
        <v>5428.0417743751041</v>
      </c>
      <c r="AC53" s="124">
        <f t="shared" si="22"/>
        <v>68.277255023586207</v>
      </c>
      <c r="AD53" s="124">
        <f t="shared" si="22"/>
        <v>12.75021530119829</v>
      </c>
      <c r="AE53" s="124">
        <f t="shared" si="22"/>
        <v>44297.531654503073</v>
      </c>
    </row>
    <row r="54" spans="1:31" ht="15.75" thickBot="1" x14ac:dyDescent="0.3">
      <c r="B54" s="117"/>
      <c r="C54" s="117">
        <f t="shared" ref="C54:O54" si="30">C51+C40</f>
        <v>206115.91626666664</v>
      </c>
      <c r="D54" s="117">
        <f t="shared" si="30"/>
        <v>209455.91626666664</v>
      </c>
      <c r="E54" s="117">
        <f t="shared" si="30"/>
        <v>209455.91626666664</v>
      </c>
      <c r="F54" s="117">
        <f t="shared" si="30"/>
        <v>209455.91626666664</v>
      </c>
      <c r="G54" s="117">
        <f t="shared" si="30"/>
        <v>209455.91626666664</v>
      </c>
      <c r="H54" s="117">
        <f t="shared" si="30"/>
        <v>212239.24959999995</v>
      </c>
      <c r="I54" s="117">
        <f t="shared" si="30"/>
        <v>212239.24959999995</v>
      </c>
      <c r="J54" s="117">
        <f t="shared" si="30"/>
        <v>212239.24959999995</v>
      </c>
      <c r="K54" s="117">
        <f t="shared" si="30"/>
        <v>212239.24959999995</v>
      </c>
      <c r="L54" s="117">
        <f t="shared" si="30"/>
        <v>212239.24959999995</v>
      </c>
      <c r="M54" s="117">
        <f t="shared" si="30"/>
        <v>212239.24959999995</v>
      </c>
      <c r="N54" s="117">
        <f t="shared" si="30"/>
        <v>213867.49959999995</v>
      </c>
      <c r="O54" s="117">
        <f t="shared" si="30"/>
        <v>2531242.5785333337</v>
      </c>
      <c r="P54" s="118"/>
      <c r="Q54" s="118"/>
      <c r="R54" s="125"/>
      <c r="S54" s="125"/>
      <c r="T54" s="125"/>
      <c r="U54" s="125"/>
      <c r="V54" s="125"/>
      <c r="W54" s="125"/>
      <c r="X54" s="125"/>
      <c r="Y54" s="125"/>
      <c r="Z54" s="129">
        <f t="shared" si="24"/>
        <v>201644.08427705916</v>
      </c>
      <c r="AA54" s="129">
        <f t="shared" si="22"/>
        <v>481015.96755407786</v>
      </c>
      <c r="AB54" s="129">
        <f t="shared" si="22"/>
        <v>201462.91851207172</v>
      </c>
      <c r="AC54" s="129">
        <f t="shared" si="22"/>
        <v>2534.1247611581343</v>
      </c>
      <c r="AD54" s="129">
        <f t="shared" si="22"/>
        <v>473.22693763394972</v>
      </c>
      <c r="AE54" s="129">
        <f t="shared" si="22"/>
        <v>1644112.2564913328</v>
      </c>
    </row>
    <row r="55" spans="1:31" ht="16.5" thickTop="1" x14ac:dyDescent="0.25">
      <c r="A55" s="112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25"/>
      <c r="S55" s="125"/>
      <c r="T55" s="125"/>
      <c r="U55" s="125"/>
      <c r="V55" s="125"/>
      <c r="W55" s="125"/>
      <c r="X55" s="125"/>
      <c r="Y55" s="125"/>
      <c r="Z55" s="130" t="s">
        <v>462</v>
      </c>
      <c r="AA55" s="124"/>
      <c r="AB55" s="124"/>
      <c r="AC55" s="124"/>
      <c r="AD55" s="124"/>
      <c r="AE55" s="124"/>
    </row>
    <row r="56" spans="1:31" x14ac:dyDescent="0.25">
      <c r="A56" s="116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18"/>
      <c r="Q56" s="118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</row>
    <row r="57" spans="1:31" x14ac:dyDescent="0.25">
      <c r="A57" s="162" t="s">
        <v>514</v>
      </c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</row>
    <row r="58" spans="1:31" x14ac:dyDescent="0.25">
      <c r="A58" s="163" t="s">
        <v>504</v>
      </c>
      <c r="B58" s="164" t="s">
        <v>505</v>
      </c>
      <c r="C58" s="118">
        <f>C42</f>
        <v>21615.870000000003</v>
      </c>
      <c r="D58" s="118">
        <f t="shared" ref="D58:O59" si="31">D42</f>
        <v>21615.870000000003</v>
      </c>
      <c r="E58" s="118">
        <f t="shared" si="31"/>
        <v>21615.870000000003</v>
      </c>
      <c r="F58" s="118">
        <f t="shared" si="31"/>
        <v>21615.870000000003</v>
      </c>
      <c r="G58" s="118">
        <f t="shared" si="31"/>
        <v>21615.870000000003</v>
      </c>
      <c r="H58" s="118">
        <f t="shared" si="31"/>
        <v>21615.870000000003</v>
      </c>
      <c r="I58" s="118">
        <f t="shared" si="31"/>
        <v>21615.870000000003</v>
      </c>
      <c r="J58" s="118">
        <f t="shared" si="31"/>
        <v>21615.870000000003</v>
      </c>
      <c r="K58" s="118">
        <f t="shared" si="31"/>
        <v>21615.870000000003</v>
      </c>
      <c r="L58" s="118">
        <f t="shared" si="31"/>
        <v>21615.870000000003</v>
      </c>
      <c r="M58" s="118">
        <f t="shared" si="31"/>
        <v>21615.870000000003</v>
      </c>
      <c r="N58" s="118">
        <f t="shared" si="31"/>
        <v>21615.870000000003</v>
      </c>
      <c r="O58" s="118">
        <f t="shared" si="31"/>
        <v>259390.43999999997</v>
      </c>
      <c r="P58" s="118"/>
      <c r="Q58" s="118"/>
      <c r="R58" s="118"/>
    </row>
    <row r="59" spans="1:31" x14ac:dyDescent="0.25">
      <c r="A59" s="163">
        <v>3901</v>
      </c>
      <c r="B59" s="164" t="s">
        <v>506</v>
      </c>
      <c r="C59" s="118">
        <f>C43</f>
        <v>3549.02</v>
      </c>
      <c r="D59" s="118">
        <f t="shared" si="31"/>
        <v>3549.02</v>
      </c>
      <c r="E59" s="118">
        <f t="shared" si="31"/>
        <v>3549.02</v>
      </c>
      <c r="F59" s="118">
        <f t="shared" si="31"/>
        <v>3549.02</v>
      </c>
      <c r="G59" s="118">
        <f t="shared" si="31"/>
        <v>3549.02</v>
      </c>
      <c r="H59" s="118">
        <f t="shared" si="31"/>
        <v>3549.02</v>
      </c>
      <c r="I59" s="118">
        <f t="shared" si="31"/>
        <v>3549.02</v>
      </c>
      <c r="J59" s="118">
        <f t="shared" si="31"/>
        <v>3549.02</v>
      </c>
      <c r="K59" s="118">
        <f t="shared" si="31"/>
        <v>3549.02</v>
      </c>
      <c r="L59" s="118">
        <f t="shared" si="31"/>
        <v>3549.02</v>
      </c>
      <c r="M59" s="118">
        <f t="shared" si="31"/>
        <v>3549.02</v>
      </c>
      <c r="N59" s="118">
        <f t="shared" si="31"/>
        <v>3549.02</v>
      </c>
      <c r="O59" s="118">
        <f t="shared" si="31"/>
        <v>42588.239999999991</v>
      </c>
      <c r="P59" s="118"/>
      <c r="Q59" s="118"/>
      <c r="R59" s="118"/>
    </row>
    <row r="60" spans="1:31" x14ac:dyDescent="0.25">
      <c r="A60" s="165">
        <v>3910</v>
      </c>
      <c r="B60" s="166" t="s">
        <v>507</v>
      </c>
      <c r="C60" s="118">
        <f>C44+C52</f>
        <v>10536.949999999997</v>
      </c>
      <c r="D60" s="118">
        <f t="shared" ref="D60:O60" si="32">D44+D52</f>
        <v>10536.949999999997</v>
      </c>
      <c r="E60" s="118">
        <f t="shared" si="32"/>
        <v>10536.949999999997</v>
      </c>
      <c r="F60" s="118">
        <f t="shared" si="32"/>
        <v>10536.949999999997</v>
      </c>
      <c r="G60" s="118">
        <f t="shared" si="32"/>
        <v>10536.949999999997</v>
      </c>
      <c r="H60" s="118">
        <f t="shared" si="32"/>
        <v>10536.949999999997</v>
      </c>
      <c r="I60" s="118">
        <f t="shared" si="32"/>
        <v>10536.949999999997</v>
      </c>
      <c r="J60" s="118">
        <f t="shared" si="32"/>
        <v>10536.949999999997</v>
      </c>
      <c r="K60" s="118">
        <f t="shared" si="32"/>
        <v>10536.949999999997</v>
      </c>
      <c r="L60" s="118">
        <f t="shared" si="32"/>
        <v>10536.949999999997</v>
      </c>
      <c r="M60" s="118">
        <f t="shared" si="32"/>
        <v>10536.949999999997</v>
      </c>
      <c r="N60" s="118">
        <f t="shared" si="32"/>
        <v>10536.949999999997</v>
      </c>
      <c r="O60" s="118">
        <f t="shared" si="32"/>
        <v>126443.39999999997</v>
      </c>
      <c r="P60" s="118"/>
      <c r="Q60" s="118"/>
      <c r="R60" s="118"/>
    </row>
    <row r="61" spans="1:31" x14ac:dyDescent="0.25">
      <c r="A61" s="165">
        <v>3911</v>
      </c>
      <c r="B61" s="164" t="s">
        <v>508</v>
      </c>
      <c r="C61" s="118">
        <f>C45</f>
        <v>65613.72626666665</v>
      </c>
      <c r="D61" s="118">
        <f t="shared" ref="D61:O61" si="33">D45</f>
        <v>68953.72626666665</v>
      </c>
      <c r="E61" s="118">
        <f t="shared" si="33"/>
        <v>68953.72626666665</v>
      </c>
      <c r="F61" s="118">
        <f t="shared" si="33"/>
        <v>68953.72626666665</v>
      </c>
      <c r="G61" s="118">
        <f t="shared" si="33"/>
        <v>68953.72626666665</v>
      </c>
      <c r="H61" s="118">
        <f t="shared" si="33"/>
        <v>71737.059599999979</v>
      </c>
      <c r="I61" s="118">
        <f t="shared" si="33"/>
        <v>71737.059599999979</v>
      </c>
      <c r="J61" s="118">
        <f t="shared" si="33"/>
        <v>71737.059599999979</v>
      </c>
      <c r="K61" s="118">
        <f t="shared" si="33"/>
        <v>71737.059599999979</v>
      </c>
      <c r="L61" s="118">
        <f t="shared" si="33"/>
        <v>71737.059599999979</v>
      </c>
      <c r="M61" s="118">
        <f t="shared" si="33"/>
        <v>71737.059599999979</v>
      </c>
      <c r="N61" s="118">
        <f t="shared" si="33"/>
        <v>73365.309599999979</v>
      </c>
      <c r="O61" s="118">
        <f t="shared" si="33"/>
        <v>845216.29853333323</v>
      </c>
      <c r="P61" s="118"/>
      <c r="Q61" s="118"/>
      <c r="R61" s="118"/>
    </row>
    <row r="62" spans="1:31" x14ac:dyDescent="0.25">
      <c r="A62" s="165">
        <v>3912</v>
      </c>
      <c r="B62" s="166" t="s">
        <v>509</v>
      </c>
      <c r="C62" s="118">
        <f>C46+C49</f>
        <v>28065.58</v>
      </c>
      <c r="D62" s="118">
        <f t="shared" ref="D62:O62" si="34">D46+D49</f>
        <v>28065.58</v>
      </c>
      <c r="E62" s="118">
        <f t="shared" si="34"/>
        <v>28065.58</v>
      </c>
      <c r="F62" s="118">
        <f t="shared" si="34"/>
        <v>28065.58</v>
      </c>
      <c r="G62" s="118">
        <f t="shared" si="34"/>
        <v>28065.58</v>
      </c>
      <c r="H62" s="118">
        <f t="shared" si="34"/>
        <v>28065.58</v>
      </c>
      <c r="I62" s="118">
        <f t="shared" si="34"/>
        <v>28065.58</v>
      </c>
      <c r="J62" s="118">
        <f t="shared" si="34"/>
        <v>28065.58</v>
      </c>
      <c r="K62" s="118">
        <f t="shared" si="34"/>
        <v>28065.58</v>
      </c>
      <c r="L62" s="118">
        <f t="shared" si="34"/>
        <v>28065.58</v>
      </c>
      <c r="M62" s="118">
        <f t="shared" si="34"/>
        <v>28065.58</v>
      </c>
      <c r="N62" s="118">
        <f t="shared" si="34"/>
        <v>28065.58</v>
      </c>
      <c r="O62" s="118">
        <f t="shared" si="34"/>
        <v>336786.95999999996</v>
      </c>
      <c r="P62" s="118"/>
      <c r="Q62" s="118"/>
      <c r="R62" s="118"/>
    </row>
    <row r="63" spans="1:31" x14ac:dyDescent="0.25">
      <c r="A63" s="165">
        <v>3913</v>
      </c>
      <c r="B63" s="166" t="s">
        <v>510</v>
      </c>
      <c r="C63" s="118">
        <f>C47</f>
        <v>1595.98</v>
      </c>
      <c r="D63" s="118">
        <f t="shared" ref="D63:O64" si="35">D47</f>
        <v>1595.98</v>
      </c>
      <c r="E63" s="118">
        <f t="shared" si="35"/>
        <v>1595.98</v>
      </c>
      <c r="F63" s="118">
        <f t="shared" si="35"/>
        <v>1595.98</v>
      </c>
      <c r="G63" s="118">
        <f t="shared" si="35"/>
        <v>1595.98</v>
      </c>
      <c r="H63" s="118">
        <f t="shared" si="35"/>
        <v>1595.98</v>
      </c>
      <c r="I63" s="118">
        <f t="shared" si="35"/>
        <v>1595.98</v>
      </c>
      <c r="J63" s="118">
        <f t="shared" si="35"/>
        <v>1595.98</v>
      </c>
      <c r="K63" s="118">
        <f t="shared" si="35"/>
        <v>1595.98</v>
      </c>
      <c r="L63" s="118">
        <f t="shared" si="35"/>
        <v>1595.98</v>
      </c>
      <c r="M63" s="118">
        <f t="shared" si="35"/>
        <v>1595.98</v>
      </c>
      <c r="N63" s="118">
        <f t="shared" si="35"/>
        <v>1595.98</v>
      </c>
      <c r="O63" s="118">
        <f t="shared" si="35"/>
        <v>19151.759999999998</v>
      </c>
      <c r="P63" s="118"/>
      <c r="Q63" s="118"/>
      <c r="R63" s="118"/>
    </row>
    <row r="64" spans="1:31" x14ac:dyDescent="0.25">
      <c r="A64" s="165">
        <v>3914</v>
      </c>
      <c r="B64" s="166" t="s">
        <v>511</v>
      </c>
      <c r="C64" s="118">
        <f>C48</f>
        <v>64898.66</v>
      </c>
      <c r="D64" s="118">
        <f t="shared" si="35"/>
        <v>64898.66</v>
      </c>
      <c r="E64" s="118">
        <f t="shared" si="35"/>
        <v>64898.66</v>
      </c>
      <c r="F64" s="118">
        <f t="shared" si="35"/>
        <v>64898.66</v>
      </c>
      <c r="G64" s="118">
        <f t="shared" si="35"/>
        <v>64898.66</v>
      </c>
      <c r="H64" s="118">
        <f t="shared" si="35"/>
        <v>64898.66</v>
      </c>
      <c r="I64" s="118">
        <f t="shared" si="35"/>
        <v>64898.66</v>
      </c>
      <c r="J64" s="118">
        <f t="shared" si="35"/>
        <v>64898.66</v>
      </c>
      <c r="K64" s="118">
        <f t="shared" si="35"/>
        <v>64898.66</v>
      </c>
      <c r="L64" s="118">
        <f t="shared" si="35"/>
        <v>64898.66</v>
      </c>
      <c r="M64" s="118">
        <f t="shared" si="35"/>
        <v>64898.66</v>
      </c>
      <c r="N64" s="118">
        <f t="shared" si="35"/>
        <v>64898.66</v>
      </c>
      <c r="O64" s="118">
        <f t="shared" si="35"/>
        <v>778783.92000000027</v>
      </c>
      <c r="P64" s="118"/>
      <c r="Q64" s="118"/>
      <c r="R64" s="118"/>
    </row>
    <row r="65" spans="1:31" x14ac:dyDescent="0.25">
      <c r="A65" s="165" t="s">
        <v>512</v>
      </c>
      <c r="B65" s="166" t="s">
        <v>513</v>
      </c>
      <c r="C65" s="118">
        <f>C50+C53</f>
        <v>10240.130000000001</v>
      </c>
      <c r="D65" s="118">
        <f t="shared" ref="D65:O65" si="36">D50+D53</f>
        <v>10240.130000000001</v>
      </c>
      <c r="E65" s="118">
        <f t="shared" si="36"/>
        <v>10240.130000000001</v>
      </c>
      <c r="F65" s="118">
        <f t="shared" si="36"/>
        <v>10240.130000000001</v>
      </c>
      <c r="G65" s="118">
        <f t="shared" si="36"/>
        <v>10240.130000000001</v>
      </c>
      <c r="H65" s="118">
        <f t="shared" si="36"/>
        <v>10240.130000000001</v>
      </c>
      <c r="I65" s="118">
        <f t="shared" si="36"/>
        <v>10240.130000000001</v>
      </c>
      <c r="J65" s="118">
        <f t="shared" si="36"/>
        <v>10240.130000000001</v>
      </c>
      <c r="K65" s="118">
        <f t="shared" si="36"/>
        <v>10240.130000000001</v>
      </c>
      <c r="L65" s="118">
        <f t="shared" si="36"/>
        <v>10240.130000000001</v>
      </c>
      <c r="M65" s="118">
        <f t="shared" si="36"/>
        <v>10240.130000000001</v>
      </c>
      <c r="N65" s="118">
        <f t="shared" si="36"/>
        <v>10240.130000000001</v>
      </c>
      <c r="O65" s="118">
        <f t="shared" si="36"/>
        <v>122881.56000000003</v>
      </c>
      <c r="P65" s="118"/>
      <c r="Q65" s="118"/>
      <c r="R65" s="118"/>
    </row>
    <row r="66" spans="1:31" x14ac:dyDescent="0.25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</row>
    <row r="67" spans="1:31" x14ac:dyDescent="0.25">
      <c r="A67" s="116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</row>
    <row r="68" spans="1:31" x14ac:dyDescent="0.25"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</row>
    <row r="69" spans="1:31" x14ac:dyDescent="0.25"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</row>
    <row r="70" spans="1:31" x14ac:dyDescent="0.25">
      <c r="A70" s="116"/>
      <c r="B70" s="116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6" sqref="A6"/>
    </sheetView>
  </sheetViews>
  <sheetFormatPr defaultRowHeight="15" x14ac:dyDescent="0.25"/>
  <cols>
    <col min="1" max="1" width="38.85546875" customWidth="1"/>
    <col min="2" max="3" width="11.28515625" bestFit="1" customWidth="1"/>
    <col min="4" max="4" width="10" bestFit="1" customWidth="1"/>
    <col min="5" max="5" width="13.28515625" customWidth="1"/>
    <col min="6" max="6" width="9.42578125" bestFit="1" customWidth="1"/>
    <col min="7" max="7" width="16.85546875" bestFit="1" customWidth="1"/>
    <col min="8" max="8" width="13.85546875" customWidth="1"/>
    <col min="9" max="9" width="28.42578125" customWidth="1"/>
    <col min="10" max="10" width="21.5703125" customWidth="1"/>
  </cols>
  <sheetData>
    <row r="1" spans="1:10" x14ac:dyDescent="0.25">
      <c r="A1" s="116" t="s">
        <v>466</v>
      </c>
      <c r="B1" s="116"/>
      <c r="C1" s="116"/>
      <c r="D1" s="116"/>
      <c r="E1" s="116"/>
    </row>
    <row r="2" spans="1:10" x14ac:dyDescent="0.25">
      <c r="B2" s="132" t="s">
        <v>467</v>
      </c>
      <c r="C2" s="132" t="s">
        <v>468</v>
      </c>
      <c r="D2" s="132" t="s">
        <v>469</v>
      </c>
      <c r="E2" s="132" t="s">
        <v>470</v>
      </c>
      <c r="F2" s="132" t="s">
        <v>471</v>
      </c>
      <c r="G2" s="132" t="s">
        <v>472</v>
      </c>
      <c r="H2" s="132" t="s">
        <v>32</v>
      </c>
      <c r="I2" s="132" t="s">
        <v>473</v>
      </c>
    </row>
    <row r="3" spans="1:10" x14ac:dyDescent="0.25">
      <c r="A3" s="67" t="s">
        <v>474</v>
      </c>
      <c r="E3" s="133"/>
    </row>
    <row r="4" spans="1:10" x14ac:dyDescent="0.25">
      <c r="A4" s="67" t="s">
        <v>475</v>
      </c>
      <c r="B4" s="73">
        <v>28081.03</v>
      </c>
      <c r="C4" s="73">
        <v>31721.18</v>
      </c>
      <c r="D4" s="73">
        <v>866.68</v>
      </c>
      <c r="E4" s="73">
        <v>58762.25</v>
      </c>
      <c r="F4" s="73">
        <v>866.68</v>
      </c>
      <c r="G4" s="73">
        <f>3640+16641+867+14561+17334</f>
        <v>53043</v>
      </c>
      <c r="H4" s="105">
        <f>SUM(B4:G4)</f>
        <v>173340.82</v>
      </c>
      <c r="I4" s="67" t="s">
        <v>476</v>
      </c>
      <c r="J4" s="67" t="s">
        <v>477</v>
      </c>
    </row>
    <row r="5" spans="1:10" x14ac:dyDescent="0.25">
      <c r="A5" s="67" t="s">
        <v>478</v>
      </c>
      <c r="B5" s="73">
        <v>54981.28144510679</v>
      </c>
      <c r="C5" s="73">
        <v>65095.7624656689</v>
      </c>
      <c r="D5" s="73">
        <v>518.6913343878</v>
      </c>
      <c r="E5" s="73">
        <v>136156.47527679752</v>
      </c>
      <c r="F5" s="73">
        <v>518.6913343878</v>
      </c>
      <c r="G5" s="73">
        <v>2074.7653375512</v>
      </c>
      <c r="H5" s="105">
        <f t="shared" ref="H5:H7" si="0">SUM(B5:G5)</f>
        <v>259345.66719389998</v>
      </c>
      <c r="I5" s="67" t="s">
        <v>476</v>
      </c>
      <c r="J5" s="67" t="s">
        <v>477</v>
      </c>
    </row>
    <row r="6" spans="1:10" x14ac:dyDescent="0.25">
      <c r="A6" s="67" t="s">
        <v>479</v>
      </c>
      <c r="B6" s="68">
        <v>-5999.52</v>
      </c>
      <c r="C6" s="68">
        <v>-11306.88</v>
      </c>
      <c r="D6" s="68">
        <v>-230.76</v>
      </c>
      <c r="E6" s="68">
        <v>-20690.759999999998</v>
      </c>
      <c r="F6" s="68">
        <v>-230.76</v>
      </c>
      <c r="G6" s="134"/>
      <c r="H6" s="105">
        <f t="shared" si="0"/>
        <v>-38458.68</v>
      </c>
      <c r="I6" s="67" t="s">
        <v>480</v>
      </c>
    </row>
    <row r="7" spans="1:10" ht="30" x14ac:dyDescent="0.25">
      <c r="A7" s="135" t="s">
        <v>481</v>
      </c>
      <c r="B7" s="68">
        <v>-1061.67</v>
      </c>
      <c r="C7" s="68">
        <v>-15.85</v>
      </c>
      <c r="D7" s="68">
        <v>-2503.65</v>
      </c>
      <c r="E7" s="68">
        <v>-998.29</v>
      </c>
      <c r="F7" s="68"/>
      <c r="G7" s="68">
        <v>-11266.41</v>
      </c>
      <c r="H7" s="105">
        <f t="shared" si="0"/>
        <v>-15845.869999999999</v>
      </c>
      <c r="I7" s="67" t="s">
        <v>482</v>
      </c>
    </row>
    <row r="8" spans="1:10" x14ac:dyDescent="0.25">
      <c r="A8" t="s">
        <v>483</v>
      </c>
      <c r="B8" s="110">
        <f t="shared" ref="B8:G8" si="1">SUM(B4:B7)</f>
        <v>76001.121445106779</v>
      </c>
      <c r="C8" s="110">
        <f t="shared" si="1"/>
        <v>85494.212465668883</v>
      </c>
      <c r="D8" s="110">
        <f t="shared" si="1"/>
        <v>-1349.0386656122002</v>
      </c>
      <c r="E8" s="110">
        <f t="shared" si="1"/>
        <v>173229.6752767975</v>
      </c>
      <c r="F8" s="110">
        <f t="shared" si="1"/>
        <v>1154.6113343877998</v>
      </c>
      <c r="G8" s="110">
        <f t="shared" si="1"/>
        <v>43851.355337551198</v>
      </c>
      <c r="H8" s="110">
        <f>SUM(H4:H7)</f>
        <v>378381.9371939</v>
      </c>
    </row>
    <row r="9" spans="1:10" ht="39" x14ac:dyDescent="0.25">
      <c r="A9" t="s">
        <v>484</v>
      </c>
      <c r="B9" s="68">
        <f>H9*0.067</f>
        <v>5959.3096400000004</v>
      </c>
      <c r="C9" s="68">
        <f>0.063*88944.92</f>
        <v>5603.5299599999998</v>
      </c>
      <c r="D9" s="68">
        <f>0.001*88944.92</f>
        <v>88.944919999999996</v>
      </c>
      <c r="E9" s="68">
        <f>0.158*88944.92</f>
        <v>14053.29736</v>
      </c>
      <c r="F9" s="68"/>
      <c r="G9" s="68">
        <f>0.711*88944.92</f>
        <v>63239.838119999993</v>
      </c>
      <c r="H9" s="68">
        <v>88944.92</v>
      </c>
      <c r="I9" s="67" t="s">
        <v>482</v>
      </c>
      <c r="J9" s="136" t="s">
        <v>485</v>
      </c>
    </row>
    <row r="10" spans="1:10" x14ac:dyDescent="0.25">
      <c r="B10" s="110">
        <f t="shared" ref="B10:G10" si="2">B8+B9</f>
        <v>81960.431085106786</v>
      </c>
      <c r="C10" s="110">
        <f t="shared" si="2"/>
        <v>91097.742425668883</v>
      </c>
      <c r="D10" s="110">
        <f t="shared" si="2"/>
        <v>-1260.0937456122003</v>
      </c>
      <c r="E10" s="110">
        <f t="shared" si="2"/>
        <v>187282.97263679749</v>
      </c>
      <c r="F10" s="110">
        <f t="shared" si="2"/>
        <v>1154.6113343877998</v>
      </c>
      <c r="G10" s="110">
        <f t="shared" si="2"/>
        <v>107091.19345755118</v>
      </c>
      <c r="H10" s="110">
        <f>H8+H9</f>
        <v>467326.85719389998</v>
      </c>
    </row>
    <row r="11" spans="1:10" x14ac:dyDescent="0.25">
      <c r="A11" t="s">
        <v>486</v>
      </c>
      <c r="B11" s="137">
        <f>B10/$H10</f>
        <v>0.17538138419273502</v>
      </c>
      <c r="C11" s="137">
        <f t="shared" ref="C11:H11" si="3">C10/$H10</f>
        <v>0.19493367655493263</v>
      </c>
      <c r="D11" s="137">
        <f t="shared" si="3"/>
        <v>-2.6963863219386323E-3</v>
      </c>
      <c r="E11" s="137">
        <f t="shared" si="3"/>
        <v>0.40075371178398028</v>
      </c>
      <c r="F11" s="137">
        <f t="shared" si="3"/>
        <v>2.4706719004354946E-3</v>
      </c>
      <c r="G11" s="137">
        <f t="shared" si="3"/>
        <v>0.22915694188985516</v>
      </c>
      <c r="H11" s="133">
        <f t="shared" si="3"/>
        <v>1</v>
      </c>
    </row>
    <row r="12" spans="1:10" x14ac:dyDescent="0.25">
      <c r="A12" s="138" t="s">
        <v>487</v>
      </c>
      <c r="B12" s="133"/>
      <c r="C12" s="133"/>
      <c r="D12" s="133"/>
      <c r="E12" s="133"/>
      <c r="F12" s="133"/>
      <c r="G12" s="133"/>
      <c r="H12" s="68">
        <v>109068</v>
      </c>
    </row>
    <row r="13" spans="1:10" x14ac:dyDescent="0.25">
      <c r="A13" s="138" t="s">
        <v>488</v>
      </c>
      <c r="B13" s="133"/>
      <c r="C13" s="133"/>
      <c r="D13" s="133"/>
      <c r="E13" s="133"/>
      <c r="F13" s="133"/>
      <c r="G13" s="133"/>
      <c r="H13" s="68">
        <f>H10+H12</f>
        <v>576394.85719390004</v>
      </c>
    </row>
    <row r="14" spans="1:10" x14ac:dyDescent="0.25">
      <c r="A14" s="138" t="s">
        <v>489</v>
      </c>
      <c r="B14" s="133"/>
      <c r="C14" s="133"/>
      <c r="D14" s="133"/>
      <c r="E14" s="133"/>
      <c r="F14" s="133"/>
      <c r="G14" s="133"/>
      <c r="H14" s="68">
        <f>'[1]FC Depreciation Expense'!N13</f>
        <v>576906.20768648759</v>
      </c>
    </row>
    <row r="15" spans="1:10" x14ac:dyDescent="0.25">
      <c r="H15" s="105">
        <f>H13-H14</f>
        <v>-511.35049258754589</v>
      </c>
    </row>
    <row r="16" spans="1:10" x14ac:dyDescent="0.25">
      <c r="A16" s="67"/>
    </row>
    <row r="17" spans="1:10" x14ac:dyDescent="0.25">
      <c r="A17" s="67" t="s">
        <v>490</v>
      </c>
      <c r="B17" s="73">
        <v>43664.974388560804</v>
      </c>
      <c r="C17" s="73">
        <v>51697.681941173403</v>
      </c>
      <c r="D17" s="73">
        <v>411.93372064680005</v>
      </c>
      <c r="E17" s="73">
        <v>108132.601669785</v>
      </c>
      <c r="F17" s="73">
        <v>411.93372064680005</v>
      </c>
      <c r="G17" s="73">
        <v>1647.7348825872002</v>
      </c>
      <c r="H17" s="105">
        <v>205966.8603234</v>
      </c>
      <c r="J17" s="67" t="s">
        <v>477</v>
      </c>
    </row>
    <row r="18" spans="1:10" x14ac:dyDescent="0.25">
      <c r="A18" s="67" t="s">
        <v>491</v>
      </c>
      <c r="B18" s="73">
        <v>1967.7792003199991</v>
      </c>
      <c r="C18" s="73">
        <v>2329.7763173599983</v>
      </c>
      <c r="D18" s="73">
        <v>18.563954719999991</v>
      </c>
      <c r="E18" s="73">
        <v>4873.0381139999963</v>
      </c>
      <c r="F18" s="73">
        <v>18.563954719999991</v>
      </c>
      <c r="G18" s="73">
        <v>74.255818879999964</v>
      </c>
      <c r="H18" s="105">
        <v>9281.9773599999935</v>
      </c>
      <c r="J18" s="67" t="s">
        <v>477</v>
      </c>
    </row>
    <row r="19" spans="1:10" ht="26.25" x14ac:dyDescent="0.25">
      <c r="A19" s="67"/>
      <c r="B19" s="73"/>
      <c r="C19" s="73"/>
      <c r="D19" s="73"/>
      <c r="E19" s="73"/>
      <c r="F19" s="73"/>
      <c r="G19" s="73"/>
      <c r="H19" s="105"/>
      <c r="J19" s="136" t="s">
        <v>492</v>
      </c>
    </row>
    <row r="20" spans="1:10" x14ac:dyDescent="0.25">
      <c r="A20" s="67" t="s">
        <v>493</v>
      </c>
      <c r="B20" s="73"/>
      <c r="C20" s="73"/>
      <c r="D20" s="73"/>
      <c r="E20" s="73"/>
      <c r="F20" s="73"/>
      <c r="G20" s="73"/>
      <c r="H20" s="105"/>
      <c r="J20" s="67"/>
    </row>
    <row r="21" spans="1:10" x14ac:dyDescent="0.25">
      <c r="A21" s="67" t="s">
        <v>494</v>
      </c>
      <c r="B21" s="68">
        <v>178264</v>
      </c>
      <c r="C21" s="68">
        <v>178261</v>
      </c>
      <c r="D21" s="68">
        <v>2241</v>
      </c>
      <c r="E21" s="68">
        <v>425546</v>
      </c>
      <c r="F21" s="68">
        <v>412</v>
      </c>
      <c r="G21" s="68">
        <f>H21-F21-E21-D21-C21-B21</f>
        <v>1451858</v>
      </c>
      <c r="H21" s="68">
        <v>2236582</v>
      </c>
      <c r="I21" s="67" t="s">
        <v>495</v>
      </c>
    </row>
    <row r="22" spans="1:10" x14ac:dyDescent="0.25">
      <c r="A22" s="67" t="s">
        <v>496</v>
      </c>
      <c r="B22" s="68">
        <v>5222</v>
      </c>
      <c r="C22" s="68">
        <v>5390</v>
      </c>
      <c r="D22" s="68">
        <v>67</v>
      </c>
      <c r="E22" s="68">
        <v>12548</v>
      </c>
      <c r="F22" s="68">
        <v>19</v>
      </c>
      <c r="G22" s="68">
        <f>H22-B22-C22-D22-E22-F22</f>
        <v>45547</v>
      </c>
      <c r="H22" s="68">
        <v>68793</v>
      </c>
      <c r="I22" s="67" t="s">
        <v>495</v>
      </c>
    </row>
    <row r="23" spans="1:10" ht="15.75" thickBot="1" x14ac:dyDescent="0.3">
      <c r="B23" s="111">
        <f>SUM(B21:B22)</f>
        <v>183486</v>
      </c>
      <c r="C23" s="111">
        <f t="shared" ref="C23:H23" si="4">SUM(C21:C22)</f>
        <v>183651</v>
      </c>
      <c r="D23" s="111">
        <f t="shared" si="4"/>
        <v>2308</v>
      </c>
      <c r="E23" s="111">
        <f t="shared" si="4"/>
        <v>438094</v>
      </c>
      <c r="F23" s="111">
        <f t="shared" si="4"/>
        <v>431</v>
      </c>
      <c r="G23" s="111">
        <f t="shared" si="4"/>
        <v>1497405</v>
      </c>
      <c r="H23" s="111">
        <f t="shared" si="4"/>
        <v>2305375</v>
      </c>
    </row>
    <row r="24" spans="1:10" ht="15.75" thickTop="1" x14ac:dyDescent="0.25">
      <c r="B24" s="137">
        <f>B23/$H23</f>
        <v>7.9590522149324952E-2</v>
      </c>
      <c r="C24" s="137">
        <f t="shared" ref="C24:H24" si="5">C23/$H23</f>
        <v>7.9662094019411156E-2</v>
      </c>
      <c r="D24" s="137">
        <f t="shared" si="5"/>
        <v>1.0011386433877352E-3</v>
      </c>
      <c r="E24" s="137">
        <f t="shared" si="5"/>
        <v>0.19003155668817437</v>
      </c>
      <c r="F24" s="139">
        <f t="shared" si="5"/>
        <v>1.869544000433769E-4</v>
      </c>
      <c r="G24" s="137">
        <f t="shared" si="5"/>
        <v>0.64952773409965836</v>
      </c>
      <c r="H24" s="133">
        <f t="shared" si="5"/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24" sqref="E24"/>
    </sheetView>
  </sheetViews>
  <sheetFormatPr defaultRowHeight="15" x14ac:dyDescent="0.25"/>
  <cols>
    <col min="1" max="1" width="38.85546875" customWidth="1"/>
    <col min="2" max="3" width="11.28515625" bestFit="1" customWidth="1"/>
    <col min="4" max="4" width="10" bestFit="1" customWidth="1"/>
    <col min="5" max="5" width="13.28515625" customWidth="1"/>
    <col min="6" max="6" width="9.42578125" bestFit="1" customWidth="1"/>
    <col min="7" max="7" width="16.85546875" bestFit="1" customWidth="1"/>
    <col min="8" max="8" width="13.85546875" customWidth="1"/>
    <col min="9" max="9" width="28.42578125" customWidth="1"/>
    <col min="10" max="10" width="21.5703125" customWidth="1"/>
  </cols>
  <sheetData>
    <row r="1" spans="1:10" x14ac:dyDescent="0.25">
      <c r="A1" s="116" t="s">
        <v>466</v>
      </c>
      <c r="B1" s="116"/>
      <c r="C1" s="116"/>
      <c r="D1" s="116"/>
      <c r="E1" s="116"/>
    </row>
    <row r="2" spans="1:10" x14ac:dyDescent="0.25">
      <c r="B2" s="132" t="s">
        <v>467</v>
      </c>
      <c r="C2" s="132" t="s">
        <v>468</v>
      </c>
      <c r="D2" s="132" t="s">
        <v>469</v>
      </c>
      <c r="E2" s="132" t="s">
        <v>470</v>
      </c>
      <c r="F2" s="132" t="s">
        <v>471</v>
      </c>
      <c r="G2" s="132" t="s">
        <v>472</v>
      </c>
      <c r="H2" s="132" t="s">
        <v>32</v>
      </c>
      <c r="I2" s="132" t="s">
        <v>473</v>
      </c>
    </row>
    <row r="3" spans="1:10" x14ac:dyDescent="0.25">
      <c r="A3" s="67" t="s">
        <v>474</v>
      </c>
      <c r="E3" s="133"/>
    </row>
    <row r="4" spans="1:10" x14ac:dyDescent="0.25">
      <c r="A4" s="67" t="s">
        <v>475</v>
      </c>
      <c r="B4" s="73">
        <v>28081.03</v>
      </c>
      <c r="C4" s="73">
        <v>31721.18</v>
      </c>
      <c r="D4" s="73">
        <v>866.68</v>
      </c>
      <c r="E4" s="73">
        <v>58762.25</v>
      </c>
      <c r="F4" s="73">
        <v>866.68</v>
      </c>
      <c r="G4" s="73">
        <f>3640+16641+867+14561+17334</f>
        <v>53043</v>
      </c>
      <c r="H4" s="105">
        <f>SUM(B4:G4)</f>
        <v>173340.82</v>
      </c>
      <c r="I4" s="67" t="s">
        <v>476</v>
      </c>
      <c r="J4" s="67" t="s">
        <v>477</v>
      </c>
    </row>
    <row r="5" spans="1:10" x14ac:dyDescent="0.25">
      <c r="A5" s="67" t="s">
        <v>478</v>
      </c>
      <c r="B5" s="73">
        <v>54981.28144510679</v>
      </c>
      <c r="C5" s="73">
        <v>65095.7624656689</v>
      </c>
      <c r="D5" s="73">
        <v>518.6913343878</v>
      </c>
      <c r="E5" s="73">
        <v>136156.47527679752</v>
      </c>
      <c r="F5" s="73">
        <v>518.6913343878</v>
      </c>
      <c r="G5" s="73">
        <v>2074.7653375512</v>
      </c>
      <c r="H5" s="105">
        <f t="shared" ref="H5:H7" si="0">SUM(B5:G5)</f>
        <v>259345.66719389998</v>
      </c>
      <c r="I5" s="67" t="s">
        <v>476</v>
      </c>
      <c r="J5" s="67" t="s">
        <v>477</v>
      </c>
    </row>
    <row r="6" spans="1:10" x14ac:dyDescent="0.25">
      <c r="A6" s="67" t="s">
        <v>479</v>
      </c>
      <c r="B6" s="68">
        <v>-5999.52</v>
      </c>
      <c r="C6" s="68">
        <v>-11306.88</v>
      </c>
      <c r="D6" s="68">
        <v>-230.76</v>
      </c>
      <c r="E6" s="68">
        <v>-20690.759999999998</v>
      </c>
      <c r="F6" s="68">
        <v>-230.76</v>
      </c>
      <c r="G6" s="134"/>
      <c r="H6" s="105">
        <f t="shared" si="0"/>
        <v>-38458.68</v>
      </c>
      <c r="I6" s="67" t="s">
        <v>480</v>
      </c>
    </row>
    <row r="7" spans="1:10" ht="30" x14ac:dyDescent="0.25">
      <c r="A7" s="135" t="s">
        <v>481</v>
      </c>
      <c r="B7" s="68">
        <v>-1061.67</v>
      </c>
      <c r="C7" s="68">
        <v>-15.85</v>
      </c>
      <c r="D7" s="68">
        <v>-2503.65</v>
      </c>
      <c r="E7" s="68">
        <v>-998.29</v>
      </c>
      <c r="F7" s="68"/>
      <c r="G7" s="68">
        <v>-11266.41</v>
      </c>
      <c r="H7" s="105">
        <f t="shared" si="0"/>
        <v>-15845.869999999999</v>
      </c>
      <c r="I7" s="67" t="s">
        <v>482</v>
      </c>
    </row>
    <row r="8" spans="1:10" x14ac:dyDescent="0.25">
      <c r="A8" t="s">
        <v>483</v>
      </c>
      <c r="B8" s="110">
        <f t="shared" ref="B8:G8" si="1">SUM(B4:B7)</f>
        <v>76001.121445106779</v>
      </c>
      <c r="C8" s="110">
        <f t="shared" si="1"/>
        <v>85494.212465668883</v>
      </c>
      <c r="D8" s="110">
        <f t="shared" si="1"/>
        <v>-1349.0386656122002</v>
      </c>
      <c r="E8" s="110">
        <f t="shared" si="1"/>
        <v>173229.6752767975</v>
      </c>
      <c r="F8" s="110">
        <f t="shared" si="1"/>
        <v>1154.6113343877998</v>
      </c>
      <c r="G8" s="110">
        <f t="shared" si="1"/>
        <v>43851.355337551198</v>
      </c>
      <c r="H8" s="110">
        <f>SUM(H4:H7)</f>
        <v>378381.9371939</v>
      </c>
    </row>
    <row r="9" spans="1:10" ht="39" x14ac:dyDescent="0.25">
      <c r="A9" t="s">
        <v>484</v>
      </c>
      <c r="B9" s="68">
        <f>H9*0.067</f>
        <v>5959.3096400000004</v>
      </c>
      <c r="C9" s="68">
        <f>0.063*88944.92</f>
        <v>5603.5299599999998</v>
      </c>
      <c r="D9" s="68">
        <f>0.001*88944.92</f>
        <v>88.944919999999996</v>
      </c>
      <c r="E9" s="68">
        <f>0.158*88944.92</f>
        <v>14053.29736</v>
      </c>
      <c r="F9" s="68"/>
      <c r="G9" s="68">
        <f>0.711*88944.92</f>
        <v>63239.838119999993</v>
      </c>
      <c r="H9" s="68">
        <v>88944.92</v>
      </c>
      <c r="I9" s="67" t="s">
        <v>482</v>
      </c>
      <c r="J9" s="136" t="s">
        <v>485</v>
      </c>
    </row>
    <row r="10" spans="1:10" x14ac:dyDescent="0.25">
      <c r="B10" s="110">
        <f t="shared" ref="B10:G10" si="2">B8+B9</f>
        <v>81960.431085106786</v>
      </c>
      <c r="C10" s="110">
        <f t="shared" si="2"/>
        <v>91097.742425668883</v>
      </c>
      <c r="D10" s="110">
        <f t="shared" si="2"/>
        <v>-1260.0937456122003</v>
      </c>
      <c r="E10" s="110">
        <f t="shared" si="2"/>
        <v>187282.97263679749</v>
      </c>
      <c r="F10" s="110">
        <f t="shared" si="2"/>
        <v>1154.6113343877998</v>
      </c>
      <c r="G10" s="110">
        <f t="shared" si="2"/>
        <v>107091.19345755118</v>
      </c>
      <c r="H10" s="110">
        <f>H8+H9</f>
        <v>467326.85719389998</v>
      </c>
    </row>
    <row r="11" spans="1:10" x14ac:dyDescent="0.25">
      <c r="A11" t="s">
        <v>486</v>
      </c>
      <c r="B11" s="137">
        <f>B10/$H10</f>
        <v>0.17538138419273502</v>
      </c>
      <c r="C11" s="137">
        <f t="shared" ref="C11:H11" si="3">C10/$H10</f>
        <v>0.19493367655493263</v>
      </c>
      <c r="D11" s="137">
        <f t="shared" si="3"/>
        <v>-2.6963863219386323E-3</v>
      </c>
      <c r="E11" s="137">
        <f t="shared" si="3"/>
        <v>0.40075371178398028</v>
      </c>
      <c r="F11" s="137">
        <f t="shared" si="3"/>
        <v>2.4706719004354946E-3</v>
      </c>
      <c r="G11" s="137">
        <f t="shared" si="3"/>
        <v>0.22915694188985516</v>
      </c>
      <c r="H11" s="133">
        <f t="shared" si="3"/>
        <v>1</v>
      </c>
    </row>
    <row r="12" spans="1:10" x14ac:dyDescent="0.25">
      <c r="A12" s="138" t="s">
        <v>487</v>
      </c>
      <c r="B12" s="133"/>
      <c r="C12" s="133"/>
      <c r="D12" s="133"/>
      <c r="E12" s="133"/>
      <c r="F12" s="133"/>
      <c r="G12" s="133"/>
      <c r="H12" s="68">
        <v>109068</v>
      </c>
    </row>
    <row r="13" spans="1:10" x14ac:dyDescent="0.25">
      <c r="A13" s="138" t="s">
        <v>488</v>
      </c>
      <c r="B13" s="133"/>
      <c r="C13" s="133"/>
      <c r="D13" s="133"/>
      <c r="E13" s="133"/>
      <c r="F13" s="133"/>
      <c r="G13" s="133"/>
      <c r="H13" s="68">
        <f>H10+H12</f>
        <v>576394.85719390004</v>
      </c>
    </row>
    <row r="14" spans="1:10" x14ac:dyDescent="0.25">
      <c r="A14" s="138" t="s">
        <v>489</v>
      </c>
      <c r="B14" s="133"/>
      <c r="C14" s="133"/>
      <c r="D14" s="133"/>
      <c r="E14" s="133"/>
      <c r="F14" s="133"/>
      <c r="G14" s="133"/>
      <c r="H14" s="68">
        <f>'[1]FC Depreciation Expense'!N13</f>
        <v>576906.20768648759</v>
      </c>
    </row>
    <row r="15" spans="1:10" x14ac:dyDescent="0.25">
      <c r="H15" s="105">
        <f>H13-H14</f>
        <v>-511.35049258754589</v>
      </c>
    </row>
    <row r="16" spans="1:10" x14ac:dyDescent="0.25">
      <c r="A16" s="67"/>
    </row>
    <row r="17" spans="1:10" x14ac:dyDescent="0.25">
      <c r="A17" s="67" t="s">
        <v>490</v>
      </c>
      <c r="B17" s="73">
        <v>43664.974388560804</v>
      </c>
      <c r="C17" s="73">
        <v>51697.681941173403</v>
      </c>
      <c r="D17" s="73">
        <v>411.93372064680005</v>
      </c>
      <c r="E17" s="73">
        <v>108132.601669785</v>
      </c>
      <c r="F17" s="73">
        <v>411.93372064680005</v>
      </c>
      <c r="G17" s="73">
        <v>1647.7348825872002</v>
      </c>
      <c r="H17" s="105">
        <v>205966.8603234</v>
      </c>
      <c r="J17" s="67" t="s">
        <v>477</v>
      </c>
    </row>
    <row r="18" spans="1:10" x14ac:dyDescent="0.25">
      <c r="A18" s="67" t="s">
        <v>491</v>
      </c>
      <c r="B18" s="73">
        <v>1967.7792003199991</v>
      </c>
      <c r="C18" s="73">
        <v>2329.7763173599983</v>
      </c>
      <c r="D18" s="73">
        <v>18.563954719999991</v>
      </c>
      <c r="E18" s="73">
        <v>4873.0381139999963</v>
      </c>
      <c r="F18" s="73">
        <v>18.563954719999991</v>
      </c>
      <c r="G18" s="73">
        <v>74.255818879999964</v>
      </c>
      <c r="H18" s="105">
        <v>9281.9773599999935</v>
      </c>
      <c r="J18" s="67" t="s">
        <v>477</v>
      </c>
    </row>
    <row r="19" spans="1:10" ht="26.25" x14ac:dyDescent="0.25">
      <c r="A19" s="67"/>
      <c r="B19" s="73"/>
      <c r="C19" s="73"/>
      <c r="D19" s="73"/>
      <c r="E19" s="73"/>
      <c r="F19" s="73"/>
      <c r="G19" s="73"/>
      <c r="H19" s="105"/>
      <c r="J19" s="136" t="s">
        <v>492</v>
      </c>
    </row>
    <row r="20" spans="1:10" x14ac:dyDescent="0.25">
      <c r="A20" s="67" t="s">
        <v>493</v>
      </c>
      <c r="B20" s="73"/>
      <c r="C20" s="73"/>
      <c r="D20" s="73"/>
      <c r="E20" s="73"/>
      <c r="F20" s="73"/>
      <c r="G20" s="73"/>
      <c r="H20" s="105"/>
      <c r="J20" s="67"/>
    </row>
    <row r="21" spans="1:10" x14ac:dyDescent="0.25">
      <c r="A21" s="67" t="s">
        <v>494</v>
      </c>
      <c r="B21" s="68">
        <v>178264</v>
      </c>
      <c r="C21" s="68">
        <v>178261</v>
      </c>
      <c r="D21" s="68">
        <v>2241</v>
      </c>
      <c r="E21" s="68">
        <v>425546</v>
      </c>
      <c r="F21" s="68">
        <v>412</v>
      </c>
      <c r="G21" s="68">
        <f>H21-F21-E21-D21-C21-B21</f>
        <v>1451858</v>
      </c>
      <c r="H21" s="68">
        <v>2236582</v>
      </c>
      <c r="I21" s="67" t="s">
        <v>495</v>
      </c>
    </row>
    <row r="22" spans="1:10" x14ac:dyDescent="0.25">
      <c r="A22" s="67" t="s">
        <v>496</v>
      </c>
      <c r="B22" s="68">
        <v>5222</v>
      </c>
      <c r="C22" s="68">
        <v>5390</v>
      </c>
      <c r="D22" s="68">
        <v>67</v>
      </c>
      <c r="E22" s="68">
        <v>12548</v>
      </c>
      <c r="F22" s="68">
        <v>19</v>
      </c>
      <c r="G22" s="68">
        <f>H22-B22-C22-D22-E22-F22</f>
        <v>45547</v>
      </c>
      <c r="H22" s="68">
        <v>68793</v>
      </c>
      <c r="I22" s="67" t="s">
        <v>495</v>
      </c>
    </row>
    <row r="23" spans="1:10" ht="15.75" thickBot="1" x14ac:dyDescent="0.3">
      <c r="B23" s="111">
        <f>SUM(B21:B22)</f>
        <v>183486</v>
      </c>
      <c r="C23" s="111">
        <f t="shared" ref="C23:H23" si="4">SUM(C21:C22)</f>
        <v>183651</v>
      </c>
      <c r="D23" s="111">
        <f t="shared" si="4"/>
        <v>2308</v>
      </c>
      <c r="E23" s="111">
        <f t="shared" si="4"/>
        <v>438094</v>
      </c>
      <c r="F23" s="111">
        <f t="shared" si="4"/>
        <v>431</v>
      </c>
      <c r="G23" s="111">
        <f t="shared" si="4"/>
        <v>1497405</v>
      </c>
      <c r="H23" s="111">
        <f t="shared" si="4"/>
        <v>2305375</v>
      </c>
    </row>
    <row r="24" spans="1:10" ht="15.75" thickTop="1" x14ac:dyDescent="0.25">
      <c r="B24" s="137">
        <f>B23/$H23</f>
        <v>7.9590522149324952E-2</v>
      </c>
      <c r="C24" s="137">
        <f t="shared" ref="C24:H24" si="5">C23/$H23</f>
        <v>7.9662094019411156E-2</v>
      </c>
      <c r="D24" s="137">
        <f t="shared" si="5"/>
        <v>1.0011386433877352E-3</v>
      </c>
      <c r="E24" s="137">
        <f t="shared" si="5"/>
        <v>0.19003155668817437</v>
      </c>
      <c r="F24" s="139">
        <f t="shared" si="5"/>
        <v>1.869544000433769E-4</v>
      </c>
      <c r="G24" s="137">
        <f t="shared" si="5"/>
        <v>0.64952773409965836</v>
      </c>
      <c r="H24" s="133">
        <f t="shared" si="5"/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M17" sqref="M17"/>
    </sheetView>
  </sheetViews>
  <sheetFormatPr defaultRowHeight="15" x14ac:dyDescent="0.25"/>
  <cols>
    <col min="1" max="1" width="38.85546875" customWidth="1"/>
    <col min="2" max="3" width="11.28515625" bestFit="1" customWidth="1"/>
    <col min="4" max="4" width="10" bestFit="1" customWidth="1"/>
    <col min="5" max="5" width="13.28515625" customWidth="1"/>
    <col min="6" max="6" width="9.42578125" bestFit="1" customWidth="1"/>
    <col min="7" max="7" width="16.85546875" bestFit="1" customWidth="1"/>
    <col min="8" max="8" width="13.85546875" customWidth="1"/>
    <col min="9" max="9" width="28.42578125" customWidth="1"/>
    <col min="10" max="10" width="21.5703125" customWidth="1"/>
  </cols>
  <sheetData>
    <row r="1" spans="1:10" x14ac:dyDescent="0.25">
      <c r="A1" s="116" t="s">
        <v>466</v>
      </c>
      <c r="B1" s="116"/>
      <c r="C1" s="116"/>
      <c r="D1" s="116"/>
      <c r="E1" s="116"/>
    </row>
    <row r="2" spans="1:10" x14ac:dyDescent="0.25">
      <c r="B2" s="132" t="s">
        <v>467</v>
      </c>
      <c r="C2" s="132" t="s">
        <v>468</v>
      </c>
      <c r="D2" s="132" t="s">
        <v>469</v>
      </c>
      <c r="E2" s="132" t="s">
        <v>470</v>
      </c>
      <c r="F2" s="132" t="s">
        <v>471</v>
      </c>
      <c r="G2" s="132" t="s">
        <v>472</v>
      </c>
      <c r="H2" s="132" t="s">
        <v>32</v>
      </c>
      <c r="I2" s="132" t="s">
        <v>473</v>
      </c>
    </row>
    <row r="3" spans="1:10" x14ac:dyDescent="0.25">
      <c r="A3" s="67" t="s">
        <v>474</v>
      </c>
      <c r="E3" s="133"/>
    </row>
    <row r="4" spans="1:10" x14ac:dyDescent="0.25">
      <c r="A4" s="67" t="s">
        <v>475</v>
      </c>
      <c r="B4" s="73">
        <v>28081.03</v>
      </c>
      <c r="C4" s="73">
        <v>31721.18</v>
      </c>
      <c r="D4" s="73">
        <v>866.68</v>
      </c>
      <c r="E4" s="73">
        <v>58762.25</v>
      </c>
      <c r="F4" s="73">
        <v>866.68</v>
      </c>
      <c r="G4" s="73">
        <f>3640+16641+867+14561+17334</f>
        <v>53043</v>
      </c>
      <c r="H4" s="105">
        <f>SUM(B4:G4)</f>
        <v>173340.82</v>
      </c>
      <c r="I4" s="67" t="s">
        <v>476</v>
      </c>
      <c r="J4" s="67" t="s">
        <v>477</v>
      </c>
    </row>
    <row r="5" spans="1:10" x14ac:dyDescent="0.25">
      <c r="A5" s="67" t="s">
        <v>478</v>
      </c>
      <c r="B5" s="73">
        <v>54981.28144510679</v>
      </c>
      <c r="C5" s="73">
        <v>65095.7624656689</v>
      </c>
      <c r="D5" s="73">
        <v>518.6913343878</v>
      </c>
      <c r="E5" s="73">
        <v>136156.47527679752</v>
      </c>
      <c r="F5" s="73">
        <v>518.6913343878</v>
      </c>
      <c r="G5" s="73">
        <v>2074.7653375512</v>
      </c>
      <c r="H5" s="105">
        <f t="shared" ref="H5:H7" si="0">SUM(B5:G5)</f>
        <v>259345.66719389998</v>
      </c>
      <c r="I5" s="67" t="s">
        <v>476</v>
      </c>
      <c r="J5" s="67" t="s">
        <v>477</v>
      </c>
    </row>
    <row r="6" spans="1:10" x14ac:dyDescent="0.25">
      <c r="A6" s="67" t="s">
        <v>479</v>
      </c>
      <c r="B6" s="68">
        <v>-5999.52</v>
      </c>
      <c r="C6" s="68">
        <v>-11306.88</v>
      </c>
      <c r="D6" s="68">
        <v>-230.76</v>
      </c>
      <c r="E6" s="68">
        <v>-20690.759999999998</v>
      </c>
      <c r="F6" s="68">
        <v>-230.76</v>
      </c>
      <c r="G6" s="134"/>
      <c r="H6" s="105">
        <f t="shared" si="0"/>
        <v>-38458.68</v>
      </c>
      <c r="I6" s="67" t="s">
        <v>480</v>
      </c>
    </row>
    <row r="7" spans="1:10" ht="30" x14ac:dyDescent="0.25">
      <c r="A7" s="135" t="s">
        <v>481</v>
      </c>
      <c r="B7" s="68">
        <v>-1061.67</v>
      </c>
      <c r="C7" s="68">
        <v>-15.85</v>
      </c>
      <c r="D7" s="68">
        <v>-2503.65</v>
      </c>
      <c r="E7" s="68">
        <v>-998.29</v>
      </c>
      <c r="F7" s="68"/>
      <c r="G7" s="68">
        <v>-11266.41</v>
      </c>
      <c r="H7" s="105">
        <f t="shared" si="0"/>
        <v>-15845.869999999999</v>
      </c>
      <c r="I7" s="67" t="s">
        <v>482</v>
      </c>
    </row>
    <row r="8" spans="1:10" x14ac:dyDescent="0.25">
      <c r="A8" t="s">
        <v>483</v>
      </c>
      <c r="B8" s="110">
        <f t="shared" ref="B8:G8" si="1">SUM(B4:B7)</f>
        <v>76001.121445106779</v>
      </c>
      <c r="C8" s="110">
        <f t="shared" si="1"/>
        <v>85494.212465668883</v>
      </c>
      <c r="D8" s="110">
        <f t="shared" si="1"/>
        <v>-1349.0386656122002</v>
      </c>
      <c r="E8" s="110">
        <f t="shared" si="1"/>
        <v>173229.6752767975</v>
      </c>
      <c r="F8" s="110">
        <f t="shared" si="1"/>
        <v>1154.6113343877998</v>
      </c>
      <c r="G8" s="110">
        <f t="shared" si="1"/>
        <v>43851.355337551198</v>
      </c>
      <c r="H8" s="110">
        <f>SUM(H4:H7)</f>
        <v>378381.9371939</v>
      </c>
    </row>
    <row r="9" spans="1:10" ht="39" x14ac:dyDescent="0.25">
      <c r="A9" t="s">
        <v>484</v>
      </c>
      <c r="B9" s="68">
        <f>H9*0.067</f>
        <v>5959.3096400000004</v>
      </c>
      <c r="C9" s="68">
        <f>0.063*88944.92</f>
        <v>5603.5299599999998</v>
      </c>
      <c r="D9" s="68">
        <f>0.001*88944.92</f>
        <v>88.944919999999996</v>
      </c>
      <c r="E9" s="68">
        <f>0.158*88944.92</f>
        <v>14053.29736</v>
      </c>
      <c r="F9" s="68"/>
      <c r="G9" s="68">
        <f>0.711*88944.92</f>
        <v>63239.838119999993</v>
      </c>
      <c r="H9" s="68">
        <v>88944.92</v>
      </c>
      <c r="I9" s="67" t="s">
        <v>482</v>
      </c>
      <c r="J9" s="136" t="s">
        <v>485</v>
      </c>
    </row>
    <row r="10" spans="1:10" x14ac:dyDescent="0.25">
      <c r="B10" s="110">
        <f t="shared" ref="B10:G10" si="2">B8+B9</f>
        <v>81960.431085106786</v>
      </c>
      <c r="C10" s="110">
        <f t="shared" si="2"/>
        <v>91097.742425668883</v>
      </c>
      <c r="D10" s="110">
        <f t="shared" si="2"/>
        <v>-1260.0937456122003</v>
      </c>
      <c r="E10" s="110">
        <f t="shared" si="2"/>
        <v>187282.97263679749</v>
      </c>
      <c r="F10" s="110">
        <f t="shared" si="2"/>
        <v>1154.6113343877998</v>
      </c>
      <c r="G10" s="110">
        <f t="shared" si="2"/>
        <v>107091.19345755118</v>
      </c>
      <c r="H10" s="110">
        <f>H8+H9</f>
        <v>467326.85719389998</v>
      </c>
    </row>
    <row r="11" spans="1:10" x14ac:dyDescent="0.25">
      <c r="A11" t="s">
        <v>486</v>
      </c>
      <c r="B11" s="137">
        <f>B10/$H10</f>
        <v>0.17538138419273502</v>
      </c>
      <c r="C11" s="137">
        <f t="shared" ref="C11:H11" si="3">C10/$H10</f>
        <v>0.19493367655493263</v>
      </c>
      <c r="D11" s="137">
        <f t="shared" si="3"/>
        <v>-2.6963863219386323E-3</v>
      </c>
      <c r="E11" s="137">
        <f t="shared" si="3"/>
        <v>0.40075371178398028</v>
      </c>
      <c r="F11" s="137">
        <f t="shared" si="3"/>
        <v>2.4706719004354946E-3</v>
      </c>
      <c r="G11" s="137">
        <f t="shared" si="3"/>
        <v>0.22915694188985516</v>
      </c>
      <c r="H11" s="133">
        <f t="shared" si="3"/>
        <v>1</v>
      </c>
    </row>
    <row r="12" spans="1:10" x14ac:dyDescent="0.25">
      <c r="A12" s="138" t="s">
        <v>487</v>
      </c>
      <c r="B12" s="133"/>
      <c r="C12" s="133"/>
      <c r="D12" s="133"/>
      <c r="E12" s="133"/>
      <c r="F12" s="133"/>
      <c r="G12" s="133"/>
      <c r="H12" s="68">
        <v>109068</v>
      </c>
    </row>
    <row r="13" spans="1:10" x14ac:dyDescent="0.25">
      <c r="A13" s="138" t="s">
        <v>488</v>
      </c>
      <c r="B13" s="133"/>
      <c r="C13" s="133"/>
      <c r="D13" s="133"/>
      <c r="E13" s="133"/>
      <c r="F13" s="133"/>
      <c r="G13" s="133"/>
      <c r="H13" s="68">
        <f>H10+H12</f>
        <v>576394.85719390004</v>
      </c>
    </row>
    <row r="14" spans="1:10" x14ac:dyDescent="0.25">
      <c r="A14" s="138" t="s">
        <v>489</v>
      </c>
      <c r="B14" s="133"/>
      <c r="C14" s="133"/>
      <c r="D14" s="133"/>
      <c r="E14" s="133"/>
      <c r="F14" s="133"/>
      <c r="G14" s="133"/>
      <c r="H14" s="68">
        <f>'[1]FC Depreciation Expense'!N13</f>
        <v>576906.20768648759</v>
      </c>
    </row>
    <row r="15" spans="1:10" x14ac:dyDescent="0.25">
      <c r="H15" s="105">
        <f>H13-H14</f>
        <v>-511.35049258754589</v>
      </c>
    </row>
    <row r="16" spans="1:10" x14ac:dyDescent="0.25">
      <c r="A16" s="67"/>
    </row>
    <row r="17" spans="1:10" x14ac:dyDescent="0.25">
      <c r="A17" s="67" t="s">
        <v>490</v>
      </c>
      <c r="B17" s="73">
        <v>43664.974388560804</v>
      </c>
      <c r="C17" s="73">
        <v>51697.681941173403</v>
      </c>
      <c r="D17" s="73">
        <v>411.93372064680005</v>
      </c>
      <c r="E17" s="73">
        <v>108132.601669785</v>
      </c>
      <c r="F17" s="73">
        <v>411.93372064680005</v>
      </c>
      <c r="G17" s="73">
        <v>1647.7348825872002</v>
      </c>
      <c r="H17" s="105">
        <v>205966.8603234</v>
      </c>
      <c r="J17" s="67" t="s">
        <v>477</v>
      </c>
    </row>
    <row r="18" spans="1:10" x14ac:dyDescent="0.25">
      <c r="A18" s="67" t="s">
        <v>491</v>
      </c>
      <c r="B18" s="73">
        <v>1967.7792003199991</v>
      </c>
      <c r="C18" s="73">
        <v>2329.7763173599983</v>
      </c>
      <c r="D18" s="73">
        <v>18.563954719999991</v>
      </c>
      <c r="E18" s="73">
        <v>4873.0381139999963</v>
      </c>
      <c r="F18" s="73">
        <v>18.563954719999991</v>
      </c>
      <c r="G18" s="73">
        <v>74.255818879999964</v>
      </c>
      <c r="H18" s="105">
        <v>9281.9773599999935</v>
      </c>
      <c r="J18" s="67" t="s">
        <v>477</v>
      </c>
    </row>
    <row r="19" spans="1:10" ht="26.25" x14ac:dyDescent="0.25">
      <c r="A19" s="67"/>
      <c r="B19" s="73"/>
      <c r="C19" s="73"/>
      <c r="D19" s="73"/>
      <c r="E19" s="73"/>
      <c r="F19" s="73"/>
      <c r="G19" s="73"/>
      <c r="H19" s="105"/>
      <c r="J19" s="136" t="s">
        <v>492</v>
      </c>
    </row>
    <row r="20" spans="1:10" x14ac:dyDescent="0.25">
      <c r="A20" s="67" t="s">
        <v>493</v>
      </c>
      <c r="B20" s="73"/>
      <c r="C20" s="73"/>
      <c r="D20" s="73"/>
      <c r="E20" s="73"/>
      <c r="F20" s="73"/>
      <c r="G20" s="73"/>
      <c r="H20" s="105"/>
      <c r="J20" s="67"/>
    </row>
    <row r="21" spans="1:10" x14ac:dyDescent="0.25">
      <c r="A21" s="67" t="s">
        <v>494</v>
      </c>
      <c r="B21" s="68">
        <v>178264</v>
      </c>
      <c r="C21" s="68">
        <v>178261</v>
      </c>
      <c r="D21" s="68">
        <v>2241</v>
      </c>
      <c r="E21" s="68">
        <v>425546</v>
      </c>
      <c r="F21" s="68">
        <v>412</v>
      </c>
      <c r="G21" s="68">
        <f>H21-F21-E21-D21-C21-B21</f>
        <v>1451858</v>
      </c>
      <c r="H21" s="68">
        <v>2236582</v>
      </c>
      <c r="I21" s="67" t="s">
        <v>495</v>
      </c>
    </row>
    <row r="22" spans="1:10" x14ac:dyDescent="0.25">
      <c r="A22" s="67" t="s">
        <v>496</v>
      </c>
      <c r="B22" s="68">
        <v>5222</v>
      </c>
      <c r="C22" s="68">
        <v>5390</v>
      </c>
      <c r="D22" s="68">
        <v>67</v>
      </c>
      <c r="E22" s="68">
        <v>12548</v>
      </c>
      <c r="F22" s="68">
        <v>19</v>
      </c>
      <c r="G22" s="68">
        <f>H22-B22-C22-D22-E22-F22</f>
        <v>45547</v>
      </c>
      <c r="H22" s="68">
        <v>68793</v>
      </c>
      <c r="I22" s="67" t="s">
        <v>495</v>
      </c>
    </row>
    <row r="23" spans="1:10" ht="15.75" thickBot="1" x14ac:dyDescent="0.3">
      <c r="B23" s="111">
        <f>SUM(B21:B22)</f>
        <v>183486</v>
      </c>
      <c r="C23" s="111">
        <f t="shared" ref="C23:H23" si="4">SUM(C21:C22)</f>
        <v>183651</v>
      </c>
      <c r="D23" s="111">
        <f t="shared" si="4"/>
        <v>2308</v>
      </c>
      <c r="E23" s="111">
        <f t="shared" si="4"/>
        <v>438094</v>
      </c>
      <c r="F23" s="111">
        <f t="shared" si="4"/>
        <v>431</v>
      </c>
      <c r="G23" s="111">
        <f t="shared" si="4"/>
        <v>1497405</v>
      </c>
      <c r="H23" s="111">
        <f t="shared" si="4"/>
        <v>2305375</v>
      </c>
    </row>
    <row r="24" spans="1:10" ht="15.75" thickTop="1" x14ac:dyDescent="0.25">
      <c r="B24" s="137">
        <f>B23/$H23</f>
        <v>7.9590522149324952E-2</v>
      </c>
      <c r="C24" s="137">
        <f t="shared" ref="C24:H24" si="5">C23/$H23</f>
        <v>7.9662094019411156E-2</v>
      </c>
      <c r="D24" s="137">
        <f t="shared" si="5"/>
        <v>1.0011386433877352E-3</v>
      </c>
      <c r="E24" s="137">
        <f t="shared" si="5"/>
        <v>0.19003155668817437</v>
      </c>
      <c r="F24" s="139">
        <f t="shared" si="5"/>
        <v>1.869544000433769E-4</v>
      </c>
      <c r="G24" s="137">
        <f t="shared" si="5"/>
        <v>0.64952773409965836</v>
      </c>
      <c r="H24" s="133">
        <f t="shared" si="5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13"/>
  <sheetViews>
    <sheetView topLeftCell="A4" workbookViewId="0">
      <pane xSplit="2" ySplit="5" topLeftCell="C243" activePane="bottomRight" state="frozen"/>
      <selection activeCell="A4" sqref="A4"/>
      <selection pane="topRight" activeCell="C4" sqref="C4"/>
      <selection pane="bottomLeft" activeCell="A9" sqref="A9"/>
      <selection pane="bottomRight" activeCell="A248" sqref="A248"/>
    </sheetView>
  </sheetViews>
  <sheetFormatPr defaultRowHeight="15" x14ac:dyDescent="0.25"/>
  <cols>
    <col min="1" max="1" width="59.28515625" customWidth="1"/>
    <col min="2" max="2" width="10" bestFit="1" customWidth="1"/>
    <col min="3" max="3" width="17.140625" bestFit="1" customWidth="1"/>
    <col min="4" max="15" width="15.42578125" bestFit="1" customWidth="1"/>
    <col min="16" max="16" width="17" bestFit="1" customWidth="1"/>
    <col min="17" max="17" width="15.42578125" bestFit="1" customWidth="1"/>
    <col min="18" max="18" width="7.42578125" bestFit="1" customWidth="1"/>
    <col min="19" max="19" width="15.140625" bestFit="1" customWidth="1"/>
    <col min="20" max="20" width="13.140625" bestFit="1" customWidth="1"/>
    <col min="22" max="22" width="7.85546875" bestFit="1" customWidth="1"/>
    <col min="23" max="23" width="6.140625" bestFit="1" customWidth="1"/>
    <col min="24" max="24" width="8" bestFit="1" customWidth="1"/>
    <col min="27" max="27" width="8.42578125" bestFit="1" customWidth="1"/>
    <col min="28" max="29" width="8.7109375" bestFit="1" customWidth="1"/>
    <col min="30" max="30" width="7.85546875" bestFit="1" customWidth="1"/>
    <col min="31" max="31" width="6.140625" bestFit="1" customWidth="1"/>
    <col min="32" max="32" width="8" bestFit="1" customWidth="1"/>
    <col min="33" max="33" width="8.7109375" bestFit="1" customWidth="1"/>
    <col min="34" max="34" width="7.42578125" bestFit="1" customWidth="1"/>
  </cols>
  <sheetData>
    <row r="1" spans="1:34" ht="22.5" x14ac:dyDescent="0.45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 t="s">
        <v>1</v>
      </c>
      <c r="T1" s="4" t="s">
        <v>2</v>
      </c>
      <c r="U1" s="4"/>
      <c r="V1" s="4"/>
      <c r="W1" s="4"/>
      <c r="X1" s="4"/>
      <c r="Y1" s="4"/>
      <c r="Z1" s="4"/>
      <c r="AA1" s="4" t="s">
        <v>1</v>
      </c>
      <c r="AB1" s="4" t="s">
        <v>3</v>
      </c>
      <c r="AC1" s="4"/>
      <c r="AD1" s="4"/>
      <c r="AE1" s="4"/>
      <c r="AF1" s="4"/>
      <c r="AG1" s="4"/>
      <c r="AH1" s="3"/>
    </row>
    <row r="2" spans="1:34" ht="19.5" x14ac:dyDescent="0.4">
      <c r="A2" s="5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4" t="s">
        <v>5</v>
      </c>
      <c r="T2" s="4" t="s">
        <v>6</v>
      </c>
      <c r="U2" s="4" t="s">
        <v>7</v>
      </c>
      <c r="V2" s="4" t="s">
        <v>8</v>
      </c>
      <c r="W2" s="4" t="s">
        <v>9</v>
      </c>
      <c r="X2" s="4" t="s">
        <v>10</v>
      </c>
      <c r="Y2" s="4" t="s">
        <v>11</v>
      </c>
      <c r="Z2" s="4"/>
      <c r="AA2" s="4" t="s">
        <v>5</v>
      </c>
      <c r="AB2" s="4" t="s">
        <v>6</v>
      </c>
      <c r="AC2" s="4" t="s">
        <v>7</v>
      </c>
      <c r="AD2" s="4" t="s">
        <v>8</v>
      </c>
      <c r="AE2" s="4" t="s">
        <v>9</v>
      </c>
      <c r="AF2" s="4" t="s">
        <v>10</v>
      </c>
      <c r="AG2" s="4" t="s">
        <v>11</v>
      </c>
      <c r="AH2" s="3"/>
    </row>
    <row r="3" spans="1:34" ht="19.5" x14ac:dyDescent="0.4">
      <c r="A3" s="5" t="s">
        <v>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4" t="s">
        <v>13</v>
      </c>
      <c r="T3" s="6">
        <v>0.16214999999999999</v>
      </c>
      <c r="U3" s="6">
        <v>0.39171</v>
      </c>
      <c r="V3" s="6">
        <v>0.18387999999999999</v>
      </c>
      <c r="W3" s="6">
        <v>3.5500000000000002E-3</v>
      </c>
      <c r="X3" s="6">
        <v>1.1100000000000001E-3</v>
      </c>
      <c r="Y3" s="6">
        <v>0.25762000000000002</v>
      </c>
      <c r="Z3" s="4"/>
      <c r="AA3" s="4" t="s">
        <v>13</v>
      </c>
      <c r="AB3" s="6">
        <v>0.16214999999999999</v>
      </c>
      <c r="AC3" s="6">
        <v>0.39171</v>
      </c>
      <c r="AD3" s="6">
        <v>0.18387999999999999</v>
      </c>
      <c r="AE3" s="6">
        <v>3.5500000000000002E-3</v>
      </c>
      <c r="AF3" s="6">
        <v>1.1100000000000001E-3</v>
      </c>
      <c r="AG3" s="6">
        <v>0.25762000000000002</v>
      </c>
      <c r="AH3" s="7"/>
    </row>
    <row r="4" spans="1:34" ht="19.5" x14ac:dyDescent="0.4">
      <c r="A4" s="5" t="s">
        <v>500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4" t="s">
        <v>15</v>
      </c>
      <c r="T4" s="8">
        <v>0.2928</v>
      </c>
      <c r="U4" s="8">
        <v>0.70720000000000005</v>
      </c>
      <c r="V4" s="8"/>
      <c r="W4" s="8"/>
      <c r="X4" s="8"/>
      <c r="Y4" s="9"/>
      <c r="Z4" s="4"/>
      <c r="AA4" s="4" t="s">
        <v>15</v>
      </c>
      <c r="AB4" s="8">
        <v>0.2928</v>
      </c>
      <c r="AC4" s="8">
        <v>0.70720000000000005</v>
      </c>
      <c r="AD4" s="8"/>
      <c r="AE4" s="8"/>
      <c r="AF4" s="8"/>
      <c r="AG4" s="9"/>
      <c r="AH4" s="7"/>
    </row>
    <row r="5" spans="1:34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4" t="s">
        <v>16</v>
      </c>
      <c r="T5" s="8">
        <v>0.21299999999999999</v>
      </c>
      <c r="U5" s="8">
        <v>0.34799999999999998</v>
      </c>
      <c r="V5" s="8">
        <v>0.14399999999999999</v>
      </c>
      <c r="W5" s="8">
        <v>1E-3</v>
      </c>
      <c r="X5" s="8">
        <v>1E-3</v>
      </c>
      <c r="Y5" s="8">
        <v>0.29299999999999998</v>
      </c>
      <c r="Z5" s="4"/>
      <c r="AA5" s="4" t="s">
        <v>16</v>
      </c>
      <c r="AB5" s="8">
        <v>0.21299999999999999</v>
      </c>
      <c r="AC5" s="8">
        <v>0.34799999999999998</v>
      </c>
      <c r="AD5" s="8">
        <v>0.14399999999999999</v>
      </c>
      <c r="AE5" s="8">
        <v>1E-3</v>
      </c>
      <c r="AF5" s="8">
        <v>1E-3</v>
      </c>
      <c r="AG5" s="8">
        <v>0.29299999999999998</v>
      </c>
      <c r="AH5" s="7"/>
    </row>
    <row r="6" spans="1:34" x14ac:dyDescent="0.25">
      <c r="C6" s="10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0" t="s">
        <v>22</v>
      </c>
      <c r="I6" s="10" t="s">
        <v>23</v>
      </c>
      <c r="J6" s="10" t="s">
        <v>24</v>
      </c>
      <c r="K6" s="10" t="s">
        <v>25</v>
      </c>
      <c r="L6" s="10" t="s">
        <v>26</v>
      </c>
      <c r="M6" s="10" t="s">
        <v>27</v>
      </c>
      <c r="N6" s="10" t="s">
        <v>28</v>
      </c>
      <c r="O6" s="10" t="s">
        <v>17</v>
      </c>
      <c r="P6" s="2"/>
      <c r="Q6" s="2"/>
      <c r="R6" s="3"/>
      <c r="S6" s="4" t="s">
        <v>29</v>
      </c>
      <c r="T6" s="8">
        <v>0.252</v>
      </c>
      <c r="U6" s="8">
        <v>0.52</v>
      </c>
      <c r="V6" s="8"/>
      <c r="W6" s="8"/>
      <c r="X6" s="8"/>
      <c r="Y6" s="8">
        <v>0.22800000000000001</v>
      </c>
      <c r="Z6" s="4"/>
      <c r="AA6" s="4" t="s">
        <v>29</v>
      </c>
      <c r="AB6" s="8">
        <v>0.252</v>
      </c>
      <c r="AC6" s="8">
        <v>0.52</v>
      </c>
      <c r="AD6" s="8"/>
      <c r="AE6" s="8"/>
      <c r="AF6" s="8"/>
      <c r="AG6" s="8">
        <v>0.22800000000000001</v>
      </c>
      <c r="AH6" s="7"/>
    </row>
    <row r="7" spans="1:34" x14ac:dyDescent="0.25">
      <c r="C7" s="11" t="s">
        <v>31</v>
      </c>
      <c r="D7" s="11" t="s">
        <v>497</v>
      </c>
      <c r="E7" s="11" t="s">
        <v>497</v>
      </c>
      <c r="F7" s="11" t="s">
        <v>497</v>
      </c>
      <c r="G7" s="11" t="s">
        <v>497</v>
      </c>
      <c r="H7" s="11" t="s">
        <v>497</v>
      </c>
      <c r="I7" s="11" t="s">
        <v>497</v>
      </c>
      <c r="J7" s="11" t="s">
        <v>497</v>
      </c>
      <c r="K7" s="11" t="s">
        <v>497</v>
      </c>
      <c r="L7" s="11" t="s">
        <v>497</v>
      </c>
      <c r="M7" s="11" t="s">
        <v>497</v>
      </c>
      <c r="N7" s="11" t="s">
        <v>497</v>
      </c>
      <c r="O7" s="11" t="s">
        <v>497</v>
      </c>
      <c r="P7" s="12" t="s">
        <v>32</v>
      </c>
      <c r="Q7" s="12" t="s">
        <v>33</v>
      </c>
      <c r="R7" s="3"/>
      <c r="S7" s="4" t="s">
        <v>34</v>
      </c>
      <c r="T7" s="8">
        <v>0.192</v>
      </c>
      <c r="U7" s="8">
        <v>0.39610000000000001</v>
      </c>
      <c r="V7" s="8">
        <v>0.13700000000000001</v>
      </c>
      <c r="W7" s="8">
        <v>3.2000000000000002E-3</v>
      </c>
      <c r="X7" s="8">
        <v>2.2000000000000001E-3</v>
      </c>
      <c r="Y7" s="8">
        <v>0.26950000000000002</v>
      </c>
      <c r="Z7" s="4"/>
      <c r="AA7" s="4" t="s">
        <v>34</v>
      </c>
      <c r="AB7" s="8">
        <v>0.192</v>
      </c>
      <c r="AC7" s="8">
        <v>0.39610000000000001</v>
      </c>
      <c r="AD7" s="8">
        <v>0.13700000000000001</v>
      </c>
      <c r="AE7" s="8">
        <v>3.2000000000000002E-3</v>
      </c>
      <c r="AF7" s="8">
        <v>2.2000000000000001E-3</v>
      </c>
      <c r="AG7" s="8">
        <v>0.26950000000000002</v>
      </c>
      <c r="AH7" s="7"/>
    </row>
    <row r="8" spans="1:34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3"/>
    </row>
    <row r="9" spans="1:34" x14ac:dyDescent="0.25">
      <c r="A9" s="13" t="s">
        <v>35</v>
      </c>
      <c r="B9" s="13" t="s">
        <v>36</v>
      </c>
      <c r="C9" s="14">
        <v>-53473801</v>
      </c>
      <c r="D9" s="14">
        <v>-52927683</v>
      </c>
      <c r="E9" s="14">
        <v>-50782991</v>
      </c>
      <c r="F9" s="14">
        <v>-53728742</v>
      </c>
      <c r="G9" s="14">
        <v>-52528295</v>
      </c>
      <c r="H9" s="14">
        <v>-54546955</v>
      </c>
      <c r="I9" s="14">
        <v>-53198317</v>
      </c>
      <c r="J9" s="14">
        <v>-56088549</v>
      </c>
      <c r="K9" s="14">
        <v>-57339401</v>
      </c>
      <c r="L9" s="14">
        <v>-53454763</v>
      </c>
      <c r="M9" s="14">
        <v>-55104746</v>
      </c>
      <c r="N9" s="14">
        <v>-47993900</v>
      </c>
      <c r="O9" s="14">
        <v>-62628904</v>
      </c>
      <c r="P9" s="14">
        <v>-703797045</v>
      </c>
      <c r="Q9" s="14">
        <v>-54138234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3"/>
    </row>
    <row r="10" spans="1:34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3"/>
    </row>
    <row r="11" spans="1:34" ht="19.5" x14ac:dyDescent="0.4">
      <c r="A11" s="5" t="s">
        <v>37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3"/>
    </row>
    <row r="12" spans="1:34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3"/>
    </row>
    <row r="13" spans="1:34" ht="15.75" x14ac:dyDescent="0.3">
      <c r="A13" s="18" t="s">
        <v>38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3"/>
    </row>
    <row r="14" spans="1:34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3"/>
    </row>
    <row r="15" spans="1:34" x14ac:dyDescent="0.25">
      <c r="A15" s="21" t="s">
        <v>39</v>
      </c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3"/>
    </row>
    <row r="16" spans="1:34" x14ac:dyDescent="0.25">
      <c r="A16" s="13" t="s">
        <v>40</v>
      </c>
      <c r="B16" s="13" t="s">
        <v>41</v>
      </c>
      <c r="C16" s="2">
        <v>12191005</v>
      </c>
      <c r="D16" s="2">
        <v>12191005</v>
      </c>
      <c r="E16" s="2">
        <v>12191005</v>
      </c>
      <c r="F16" s="2">
        <v>12191005</v>
      </c>
      <c r="G16" s="2">
        <v>12191005</v>
      </c>
      <c r="H16" s="2">
        <v>12191005</v>
      </c>
      <c r="I16" s="2">
        <v>12191005</v>
      </c>
      <c r="J16" s="2">
        <v>12191005</v>
      </c>
      <c r="K16" s="2">
        <v>12191005</v>
      </c>
      <c r="L16" s="2">
        <v>12191005</v>
      </c>
      <c r="M16" s="2">
        <v>12191005</v>
      </c>
      <c r="N16" s="2">
        <v>12191005</v>
      </c>
      <c r="O16" s="2">
        <v>12191005</v>
      </c>
      <c r="P16" s="2">
        <f>SUM(C16:O16)</f>
        <v>158483065</v>
      </c>
      <c r="Q16" s="2">
        <f>P16/13</f>
        <v>12191005</v>
      </c>
      <c r="R16" s="24"/>
      <c r="S16" s="25" t="s">
        <v>42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3"/>
    </row>
    <row r="17" spans="1:34" x14ac:dyDescent="0.25">
      <c r="A17" s="13" t="s">
        <v>43</v>
      </c>
      <c r="B17" s="13" t="s">
        <v>44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f t="shared" ref="P17:P28" si="0">SUM(C17:O17)</f>
        <v>0</v>
      </c>
      <c r="Q17" s="2">
        <f t="shared" ref="Q17:Q28" si="1">P17/13</f>
        <v>0</v>
      </c>
      <c r="R17" s="1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3"/>
    </row>
    <row r="18" spans="1:34" x14ac:dyDescent="0.25">
      <c r="A18" s="13" t="s">
        <v>45</v>
      </c>
      <c r="B18" s="13" t="s">
        <v>46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f t="shared" si="0"/>
        <v>0</v>
      </c>
      <c r="Q18" s="2">
        <f t="shared" si="1"/>
        <v>0</v>
      </c>
      <c r="R18" s="1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3"/>
    </row>
    <row r="19" spans="1:34" x14ac:dyDescent="0.25">
      <c r="A19" s="13" t="s">
        <v>47</v>
      </c>
      <c r="B19" s="13" t="s">
        <v>48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f t="shared" si="0"/>
        <v>0</v>
      </c>
      <c r="Q19" s="2">
        <f t="shared" si="1"/>
        <v>0</v>
      </c>
      <c r="R19" s="1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3"/>
    </row>
    <row r="20" spans="1:34" x14ac:dyDescent="0.25">
      <c r="A20" s="13" t="s">
        <v>49</v>
      </c>
      <c r="B20" s="13" t="s">
        <v>50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f t="shared" si="0"/>
        <v>0</v>
      </c>
      <c r="Q20" s="2">
        <f t="shared" si="1"/>
        <v>0</v>
      </c>
      <c r="R20" s="1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3"/>
    </row>
    <row r="21" spans="1:34" x14ac:dyDescent="0.25">
      <c r="A21" s="13" t="s">
        <v>51</v>
      </c>
      <c r="B21" s="13" t="s">
        <v>52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f t="shared" si="0"/>
        <v>0</v>
      </c>
      <c r="Q21" s="2">
        <f t="shared" si="1"/>
        <v>0</v>
      </c>
      <c r="R21" s="1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3"/>
    </row>
    <row r="22" spans="1:34" x14ac:dyDescent="0.25">
      <c r="A22" s="13" t="s">
        <v>53</v>
      </c>
      <c r="B22" s="13" t="s">
        <v>54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f t="shared" si="0"/>
        <v>0</v>
      </c>
      <c r="Q22" s="2">
        <f t="shared" si="1"/>
        <v>0</v>
      </c>
      <c r="R22" s="1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3"/>
    </row>
    <row r="23" spans="1:34" x14ac:dyDescent="0.25">
      <c r="A23" s="13" t="s">
        <v>55</v>
      </c>
      <c r="B23" s="13" t="s">
        <v>56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f t="shared" si="0"/>
        <v>0</v>
      </c>
      <c r="Q23" s="2">
        <f t="shared" si="1"/>
        <v>0</v>
      </c>
      <c r="R23" s="1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3"/>
    </row>
    <row r="24" spans="1:34" x14ac:dyDescent="0.25">
      <c r="A24" s="13" t="s">
        <v>57</v>
      </c>
      <c r="B24" s="13" t="s">
        <v>58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f t="shared" si="0"/>
        <v>0</v>
      </c>
      <c r="Q24" s="2">
        <f t="shared" si="1"/>
        <v>0</v>
      </c>
      <c r="R24" s="1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3"/>
    </row>
    <row r="25" spans="1:34" x14ac:dyDescent="0.25">
      <c r="A25" s="13" t="s">
        <v>59</v>
      </c>
      <c r="B25" s="13" t="s">
        <v>60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f t="shared" si="0"/>
        <v>0</v>
      </c>
      <c r="Q25" s="2">
        <f t="shared" si="1"/>
        <v>0</v>
      </c>
      <c r="R25" s="1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3"/>
    </row>
    <row r="26" spans="1:34" x14ac:dyDescent="0.25">
      <c r="A26" s="13" t="s">
        <v>61</v>
      </c>
      <c r="B26" s="13" t="s">
        <v>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f t="shared" si="0"/>
        <v>0</v>
      </c>
      <c r="Q26" s="2">
        <f t="shared" si="1"/>
        <v>0</v>
      </c>
      <c r="R26" s="1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3"/>
    </row>
    <row r="27" spans="1:34" x14ac:dyDescent="0.25">
      <c r="A27" s="13" t="s">
        <v>63</v>
      </c>
      <c r="B27" s="13" t="s">
        <v>64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f t="shared" si="0"/>
        <v>0</v>
      </c>
      <c r="Q27" s="2">
        <f t="shared" si="1"/>
        <v>0</v>
      </c>
      <c r="R27" s="1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3"/>
    </row>
    <row r="28" spans="1:34" x14ac:dyDescent="0.25">
      <c r="A28" s="13" t="s">
        <v>65</v>
      </c>
      <c r="B28" s="13" t="s">
        <v>66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f t="shared" si="0"/>
        <v>0</v>
      </c>
      <c r="Q28" s="2">
        <f t="shared" si="1"/>
        <v>0</v>
      </c>
      <c r="R28" s="1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3"/>
    </row>
    <row r="29" spans="1:34" x14ac:dyDescent="0.25">
      <c r="C29" s="26" t="s">
        <v>67</v>
      </c>
      <c r="D29" s="26" t="s">
        <v>67</v>
      </c>
      <c r="E29" s="26" t="s">
        <v>67</v>
      </c>
      <c r="F29" s="26" t="s">
        <v>67</v>
      </c>
      <c r="G29" s="26" t="s">
        <v>67</v>
      </c>
      <c r="H29" s="26" t="s">
        <v>67</v>
      </c>
      <c r="I29" s="26" t="s">
        <v>67</v>
      </c>
      <c r="J29" s="26" t="s">
        <v>67</v>
      </c>
      <c r="K29" s="26" t="s">
        <v>67</v>
      </c>
      <c r="L29" s="26" t="s">
        <v>67</v>
      </c>
      <c r="M29" s="26" t="s">
        <v>67</v>
      </c>
      <c r="N29" s="26" t="s">
        <v>67</v>
      </c>
      <c r="O29" s="26" t="s">
        <v>67</v>
      </c>
      <c r="P29" s="26" t="s">
        <v>67</v>
      </c>
      <c r="Q29" s="26" t="s">
        <v>67</v>
      </c>
      <c r="R29" s="1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3"/>
    </row>
    <row r="30" spans="1:34" x14ac:dyDescent="0.25">
      <c r="A30" s="21" t="s">
        <v>68</v>
      </c>
      <c r="B30" s="22"/>
      <c r="C30" s="23">
        <f t="shared" ref="C30:Q30" si="2">SUM(C16:C28)</f>
        <v>12191005</v>
      </c>
      <c r="D30" s="23">
        <f t="shared" si="2"/>
        <v>12191005</v>
      </c>
      <c r="E30" s="23">
        <f t="shared" si="2"/>
        <v>12191005</v>
      </c>
      <c r="F30" s="23">
        <f t="shared" si="2"/>
        <v>12191005</v>
      </c>
      <c r="G30" s="23">
        <f t="shared" si="2"/>
        <v>12191005</v>
      </c>
      <c r="H30" s="23">
        <f t="shared" si="2"/>
        <v>12191005</v>
      </c>
      <c r="I30" s="23">
        <f t="shared" si="2"/>
        <v>12191005</v>
      </c>
      <c r="J30" s="23">
        <f t="shared" si="2"/>
        <v>12191005</v>
      </c>
      <c r="K30" s="23">
        <f t="shared" si="2"/>
        <v>12191005</v>
      </c>
      <c r="L30" s="23">
        <f t="shared" si="2"/>
        <v>12191005</v>
      </c>
      <c r="M30" s="23">
        <f t="shared" si="2"/>
        <v>12191005</v>
      </c>
      <c r="N30" s="23">
        <f t="shared" si="2"/>
        <v>12191005</v>
      </c>
      <c r="O30" s="23">
        <f t="shared" si="2"/>
        <v>12191005</v>
      </c>
      <c r="P30" s="23">
        <f t="shared" si="2"/>
        <v>158483065</v>
      </c>
      <c r="Q30" s="23">
        <f t="shared" si="2"/>
        <v>12191005</v>
      </c>
      <c r="R30" s="1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7"/>
    </row>
    <row r="31" spans="1:34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3"/>
    </row>
    <row r="32" spans="1:34" x14ac:dyDescent="0.25">
      <c r="A32" s="21" t="s">
        <v>69</v>
      </c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3"/>
    </row>
    <row r="33" spans="1:34" x14ac:dyDescent="0.25">
      <c r="A33" s="13" t="s">
        <v>70</v>
      </c>
      <c r="B33" s="13" t="s">
        <v>71</v>
      </c>
      <c r="C33" s="2">
        <f>'working capital and def tax 21'!O33</f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f>SUM(C33:O33)</f>
        <v>0</v>
      </c>
      <c r="Q33" s="2">
        <f>P33/13</f>
        <v>0</v>
      </c>
      <c r="R33" s="15"/>
      <c r="S33" s="25" t="s">
        <v>42</v>
      </c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3"/>
    </row>
    <row r="34" spans="1:34" x14ac:dyDescent="0.25">
      <c r="C34" s="26" t="s">
        <v>67</v>
      </c>
      <c r="D34" s="26" t="s">
        <v>67</v>
      </c>
      <c r="E34" s="26" t="s">
        <v>67</v>
      </c>
      <c r="F34" s="26" t="s">
        <v>67</v>
      </c>
      <c r="G34" s="26" t="s">
        <v>67</v>
      </c>
      <c r="H34" s="26" t="s">
        <v>67</v>
      </c>
      <c r="I34" s="26" t="s">
        <v>67</v>
      </c>
      <c r="J34" s="26" t="s">
        <v>67</v>
      </c>
      <c r="K34" s="26" t="s">
        <v>67</v>
      </c>
      <c r="L34" s="26" t="s">
        <v>67</v>
      </c>
      <c r="M34" s="26" t="s">
        <v>67</v>
      </c>
      <c r="N34" s="26" t="s">
        <v>67</v>
      </c>
      <c r="O34" s="26" t="s">
        <v>67</v>
      </c>
      <c r="P34" s="26" t="s">
        <v>67</v>
      </c>
      <c r="Q34" s="26" t="s">
        <v>67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3"/>
    </row>
    <row r="35" spans="1:34" x14ac:dyDescent="0.25">
      <c r="A35" s="21" t="s">
        <v>72</v>
      </c>
      <c r="B35" s="22"/>
      <c r="C35" s="23">
        <f>SUM(C33:C34)</f>
        <v>0</v>
      </c>
      <c r="D35" s="23">
        <f t="shared" ref="D35:Q35" si="3">SUM(D33:D34)</f>
        <v>0</v>
      </c>
      <c r="E35" s="23">
        <f t="shared" si="3"/>
        <v>0</v>
      </c>
      <c r="F35" s="23">
        <f t="shared" si="3"/>
        <v>0</v>
      </c>
      <c r="G35" s="23">
        <f t="shared" si="3"/>
        <v>0</v>
      </c>
      <c r="H35" s="23">
        <f t="shared" si="3"/>
        <v>0</v>
      </c>
      <c r="I35" s="23">
        <f t="shared" si="3"/>
        <v>0</v>
      </c>
      <c r="J35" s="23">
        <f t="shared" si="3"/>
        <v>0</v>
      </c>
      <c r="K35" s="23">
        <f t="shared" si="3"/>
        <v>0</v>
      </c>
      <c r="L35" s="23">
        <f t="shared" si="3"/>
        <v>0</v>
      </c>
      <c r="M35" s="23">
        <f t="shared" si="3"/>
        <v>0</v>
      </c>
      <c r="N35" s="23">
        <f t="shared" si="3"/>
        <v>0</v>
      </c>
      <c r="O35" s="23">
        <f t="shared" si="3"/>
        <v>0</v>
      </c>
      <c r="P35" s="23">
        <f t="shared" si="3"/>
        <v>0</v>
      </c>
      <c r="Q35" s="23">
        <f t="shared" si="3"/>
        <v>0</v>
      </c>
      <c r="R35" s="15">
        <f>SUM(T35:Y35)-Q35</f>
        <v>0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27"/>
    </row>
    <row r="36" spans="1:34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3"/>
    </row>
    <row r="37" spans="1:34" x14ac:dyDescent="0.25">
      <c r="A37" s="21" t="s">
        <v>73</v>
      </c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3"/>
    </row>
    <row r="38" spans="1:34" x14ac:dyDescent="0.25">
      <c r="A38" s="13" t="s">
        <v>74</v>
      </c>
      <c r="B38" s="13" t="s">
        <v>75</v>
      </c>
      <c r="C38" s="64">
        <f>'FC Common pl 22'!G48</f>
        <v>-911385.20999999985</v>
      </c>
      <c r="D38" s="64">
        <f>'FC Common pl 22'!H48</f>
        <v>-958959.83358416439</v>
      </c>
      <c r="E38" s="64">
        <f>'FC Common pl 22'!I48</f>
        <v>-1006534.4571683286</v>
      </c>
      <c r="F38" s="64">
        <f>'FC Common pl 22'!J48</f>
        <v>-1054109.0807524929</v>
      </c>
      <c r="G38" s="64">
        <f>'FC Common pl 22'!K48</f>
        <v>-1101683.7043366572</v>
      </c>
      <c r="H38" s="64">
        <f>'FC Common pl 22'!L48</f>
        <v>-1149258.3279208217</v>
      </c>
      <c r="I38" s="64">
        <f>'FC Common pl 22'!M48</f>
        <v>-1196832.9515049858</v>
      </c>
      <c r="J38" s="64">
        <f>'FC Common pl 22'!N48</f>
        <v>-1244407.5750891506</v>
      </c>
      <c r="K38" s="64">
        <f>'FC Common pl 22'!O48</f>
        <v>-1291982.1986733144</v>
      </c>
      <c r="L38" s="64">
        <f>'FC Common pl 22'!P48</f>
        <v>-1339556.822257479</v>
      </c>
      <c r="M38" s="64">
        <f>'FC Common pl 22'!Q48</f>
        <v>-1387131.4458416428</v>
      </c>
      <c r="N38" s="64">
        <f>'FC Common pl 22'!R48</f>
        <v>-1434706.0694258073</v>
      </c>
      <c r="O38" s="64">
        <f>'FC Common pl 22'!S48</f>
        <v>-1482280.6930099721</v>
      </c>
      <c r="P38" s="2">
        <f t="shared" ref="P38:P51" si="4">SUM(C38:O38)</f>
        <v>-15558828.369564816</v>
      </c>
      <c r="Q38" s="2">
        <f t="shared" ref="Q38:Q51" si="5">P38/13</f>
        <v>-1196832.9515049858</v>
      </c>
      <c r="R38" s="24"/>
      <c r="S38" s="25" t="s">
        <v>42</v>
      </c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3"/>
    </row>
    <row r="39" spans="1:34" x14ac:dyDescent="0.25">
      <c r="A39" s="13" t="s">
        <v>45</v>
      </c>
      <c r="B39" s="13" t="s">
        <v>76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2">
        <f t="shared" si="4"/>
        <v>0</v>
      </c>
      <c r="Q39" s="2">
        <f t="shared" si="5"/>
        <v>0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3"/>
    </row>
    <row r="40" spans="1:34" x14ac:dyDescent="0.25">
      <c r="A40" s="13" t="s">
        <v>47</v>
      </c>
      <c r="B40" s="13" t="s">
        <v>77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2">
        <f t="shared" si="4"/>
        <v>0</v>
      </c>
      <c r="Q40" s="2">
        <f t="shared" si="5"/>
        <v>0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3"/>
    </row>
    <row r="41" spans="1:34" x14ac:dyDescent="0.25">
      <c r="A41" s="13" t="s">
        <v>49</v>
      </c>
      <c r="B41" s="13" t="s">
        <v>78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2">
        <f t="shared" si="4"/>
        <v>0</v>
      </c>
      <c r="Q41" s="2">
        <f t="shared" si="5"/>
        <v>0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3"/>
    </row>
    <row r="42" spans="1:34" x14ac:dyDescent="0.25">
      <c r="A42" s="13" t="s">
        <v>51</v>
      </c>
      <c r="B42" s="13" t="s">
        <v>79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2">
        <f t="shared" si="4"/>
        <v>0</v>
      </c>
      <c r="Q42" s="2">
        <f t="shared" si="5"/>
        <v>0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3"/>
    </row>
    <row r="43" spans="1:34" x14ac:dyDescent="0.25">
      <c r="A43" s="13" t="s">
        <v>53</v>
      </c>
      <c r="B43" s="13" t="s">
        <v>80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2">
        <f t="shared" si="4"/>
        <v>0</v>
      </c>
      <c r="Q43" s="2">
        <f t="shared" si="5"/>
        <v>0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3"/>
    </row>
    <row r="44" spans="1:34" x14ac:dyDescent="0.25">
      <c r="A44" s="13" t="s">
        <v>55</v>
      </c>
      <c r="B44" s="13" t="s">
        <v>81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2">
        <f t="shared" si="4"/>
        <v>0</v>
      </c>
      <c r="Q44" s="2">
        <f t="shared" si="5"/>
        <v>0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3"/>
    </row>
    <row r="45" spans="1:34" x14ac:dyDescent="0.25">
      <c r="A45" s="13" t="s">
        <v>57</v>
      </c>
      <c r="B45" s="13" t="s">
        <v>82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2">
        <f t="shared" si="4"/>
        <v>0</v>
      </c>
      <c r="Q45" s="2">
        <f t="shared" si="5"/>
        <v>0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3"/>
    </row>
    <row r="46" spans="1:34" x14ac:dyDescent="0.25">
      <c r="A46" s="13" t="s">
        <v>59</v>
      </c>
      <c r="B46" s="13" t="s">
        <v>83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2">
        <f t="shared" si="4"/>
        <v>0</v>
      </c>
      <c r="Q46" s="2">
        <f t="shared" si="5"/>
        <v>0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3"/>
    </row>
    <row r="47" spans="1:34" x14ac:dyDescent="0.25">
      <c r="A47" s="13" t="s">
        <v>61</v>
      </c>
      <c r="B47" s="13" t="s">
        <v>84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2">
        <f t="shared" si="4"/>
        <v>0</v>
      </c>
      <c r="Q47" s="2">
        <f t="shared" si="5"/>
        <v>0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3"/>
    </row>
    <row r="48" spans="1:34" x14ac:dyDescent="0.25">
      <c r="A48" s="13" t="s">
        <v>63</v>
      </c>
      <c r="B48" s="13" t="s">
        <v>85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2">
        <f t="shared" si="4"/>
        <v>0</v>
      </c>
      <c r="Q48" s="2">
        <f t="shared" si="5"/>
        <v>0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3"/>
    </row>
    <row r="49" spans="1:34" s="35" customFormat="1" x14ac:dyDescent="0.25">
      <c r="A49" s="140" t="s">
        <v>86</v>
      </c>
      <c r="B49" s="140" t="s">
        <v>87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2">
        <f t="shared" si="4"/>
        <v>0</v>
      </c>
      <c r="Q49" s="2">
        <f t="shared" si="5"/>
        <v>0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3"/>
    </row>
    <row r="50" spans="1:34" s="35" customFormat="1" x14ac:dyDescent="0.25">
      <c r="A50" s="140" t="s">
        <v>88</v>
      </c>
      <c r="B50" s="140" t="s">
        <v>89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2">
        <f t="shared" si="4"/>
        <v>0</v>
      </c>
      <c r="Q50" s="2">
        <f t="shared" si="5"/>
        <v>0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3"/>
    </row>
    <row r="51" spans="1:34" s="35" customFormat="1" x14ac:dyDescent="0.25">
      <c r="A51" s="140" t="s">
        <v>90</v>
      </c>
      <c r="B51" s="140" t="s">
        <v>91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2">
        <f t="shared" si="4"/>
        <v>0</v>
      </c>
      <c r="Q51" s="2">
        <f t="shared" si="5"/>
        <v>0</v>
      </c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3"/>
    </row>
    <row r="52" spans="1:34" x14ac:dyDescent="0.25">
      <c r="C52" s="26" t="s">
        <v>67</v>
      </c>
      <c r="D52" s="26" t="s">
        <v>67</v>
      </c>
      <c r="E52" s="26" t="s">
        <v>67</v>
      </c>
      <c r="F52" s="26" t="s">
        <v>67</v>
      </c>
      <c r="G52" s="26" t="s">
        <v>67</v>
      </c>
      <c r="H52" s="26" t="s">
        <v>67</v>
      </c>
      <c r="I52" s="26" t="s">
        <v>67</v>
      </c>
      <c r="J52" s="26" t="s">
        <v>67</v>
      </c>
      <c r="K52" s="26" t="s">
        <v>67</v>
      </c>
      <c r="L52" s="26" t="s">
        <v>67</v>
      </c>
      <c r="M52" s="26" t="s">
        <v>67</v>
      </c>
      <c r="N52" s="26" t="s">
        <v>67</v>
      </c>
      <c r="O52" s="26" t="s">
        <v>67</v>
      </c>
      <c r="P52" s="26" t="s">
        <v>67</v>
      </c>
      <c r="Q52" s="26" t="s">
        <v>67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3"/>
    </row>
    <row r="53" spans="1:34" x14ac:dyDescent="0.25">
      <c r="A53" s="21" t="s">
        <v>92</v>
      </c>
      <c r="B53" s="22"/>
      <c r="C53" s="23">
        <f>SUM(C38:C51)</f>
        <v>-911385.20999999985</v>
      </c>
      <c r="D53" s="23">
        <f t="shared" ref="D53:Q53" si="6">SUM(D38:D51)</f>
        <v>-958959.83358416439</v>
      </c>
      <c r="E53" s="23">
        <f t="shared" si="6"/>
        <v>-1006534.4571683286</v>
      </c>
      <c r="F53" s="23">
        <f t="shared" si="6"/>
        <v>-1054109.0807524929</v>
      </c>
      <c r="G53" s="23">
        <f t="shared" si="6"/>
        <v>-1101683.7043366572</v>
      </c>
      <c r="H53" s="23">
        <f t="shared" si="6"/>
        <v>-1149258.3279208217</v>
      </c>
      <c r="I53" s="23">
        <f t="shared" si="6"/>
        <v>-1196832.9515049858</v>
      </c>
      <c r="J53" s="23">
        <f t="shared" si="6"/>
        <v>-1244407.5750891506</v>
      </c>
      <c r="K53" s="23">
        <f t="shared" si="6"/>
        <v>-1291982.1986733144</v>
      </c>
      <c r="L53" s="23">
        <f t="shared" si="6"/>
        <v>-1339556.822257479</v>
      </c>
      <c r="M53" s="23">
        <f t="shared" si="6"/>
        <v>-1387131.4458416428</v>
      </c>
      <c r="N53" s="23">
        <f t="shared" si="6"/>
        <v>-1434706.0694258073</v>
      </c>
      <c r="O53" s="23">
        <f t="shared" si="6"/>
        <v>-1482280.6930099721</v>
      </c>
      <c r="P53" s="23">
        <f t="shared" si="6"/>
        <v>-15558828.369564816</v>
      </c>
      <c r="Q53" s="23">
        <f t="shared" si="6"/>
        <v>-1196832.9515049858</v>
      </c>
      <c r="R53" s="15">
        <f>SUM(T53:Y53)-Q53</f>
        <v>1196832.9515049858</v>
      </c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27"/>
    </row>
    <row r="54" spans="1:34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3"/>
    </row>
    <row r="55" spans="1:34" ht="15.75" x14ac:dyDescent="0.3">
      <c r="A55" s="18" t="s">
        <v>93</v>
      </c>
      <c r="B55" s="19"/>
      <c r="C55" s="20">
        <f>C53+C35+C30</f>
        <v>11279619.790000001</v>
      </c>
      <c r="D55" s="20">
        <f t="shared" ref="D55:Q55" si="7">D53+D35+D30</f>
        <v>11232045.166415835</v>
      </c>
      <c r="E55" s="20">
        <f t="shared" si="7"/>
        <v>11184470.54283167</v>
      </c>
      <c r="F55" s="20">
        <f t="shared" si="7"/>
        <v>11136895.919247508</v>
      </c>
      <c r="G55" s="20">
        <f t="shared" si="7"/>
        <v>11089321.295663342</v>
      </c>
      <c r="H55" s="20">
        <f t="shared" si="7"/>
        <v>11041746.672079178</v>
      </c>
      <c r="I55" s="20">
        <f t="shared" si="7"/>
        <v>10994172.048495013</v>
      </c>
      <c r="J55" s="20">
        <f t="shared" si="7"/>
        <v>10946597.424910849</v>
      </c>
      <c r="K55" s="20">
        <f t="shared" si="7"/>
        <v>10899022.801326685</v>
      </c>
      <c r="L55" s="20">
        <f t="shared" si="7"/>
        <v>10851448.17774252</v>
      </c>
      <c r="M55" s="20">
        <f t="shared" si="7"/>
        <v>10803873.554158358</v>
      </c>
      <c r="N55" s="20">
        <f t="shared" si="7"/>
        <v>10756298.930574194</v>
      </c>
      <c r="O55" s="20">
        <f t="shared" si="7"/>
        <v>10708724.306990027</v>
      </c>
      <c r="P55" s="20">
        <f t="shared" si="7"/>
        <v>142924236.63043517</v>
      </c>
      <c r="Q55" s="20">
        <f t="shared" si="7"/>
        <v>10994172.048495013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3"/>
    </row>
    <row r="56" spans="1:34" ht="15.75" x14ac:dyDescent="0.3">
      <c r="A56" s="18" t="s">
        <v>94</v>
      </c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3"/>
    </row>
    <row r="57" spans="1:34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3"/>
    </row>
    <row r="58" spans="1:34" x14ac:dyDescent="0.25">
      <c r="A58" s="21" t="s">
        <v>95</v>
      </c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3"/>
    </row>
    <row r="59" spans="1:34" x14ac:dyDescent="0.25">
      <c r="A59" s="13" t="s">
        <v>96</v>
      </c>
      <c r="B59" s="13" t="s">
        <v>97</v>
      </c>
      <c r="C59" s="64">
        <v>19699280</v>
      </c>
      <c r="D59" s="2">
        <v>19699280</v>
      </c>
      <c r="E59" s="2">
        <v>19699280</v>
      </c>
      <c r="F59" s="2">
        <v>19699280</v>
      </c>
      <c r="G59" s="2">
        <v>19699280</v>
      </c>
      <c r="H59" s="2">
        <v>19699280</v>
      </c>
      <c r="I59" s="2">
        <v>19699280</v>
      </c>
      <c r="J59" s="2">
        <v>19699280</v>
      </c>
      <c r="K59" s="2">
        <v>19699280</v>
      </c>
      <c r="L59" s="2">
        <v>19699280</v>
      </c>
      <c r="M59" s="2">
        <v>19699280</v>
      </c>
      <c r="N59" s="2">
        <v>19699280</v>
      </c>
      <c r="O59" s="2">
        <v>19699280</v>
      </c>
      <c r="P59" s="2">
        <f t="shared" ref="P59:P64" si="8">SUM(C59:O59)</f>
        <v>256090640</v>
      </c>
      <c r="Q59" s="2">
        <f t="shared" ref="Q59:Q64" si="9">P59/13</f>
        <v>19699280</v>
      </c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3"/>
    </row>
    <row r="60" spans="1:34" x14ac:dyDescent="0.25">
      <c r="A60" s="13" t="s">
        <v>98</v>
      </c>
      <c r="B60" s="13" t="s">
        <v>99</v>
      </c>
      <c r="C60" s="64">
        <v>9502865</v>
      </c>
      <c r="D60" s="2">
        <v>9502865</v>
      </c>
      <c r="E60" s="2">
        <v>9502865</v>
      </c>
      <c r="F60" s="2">
        <v>9502865</v>
      </c>
      <c r="G60" s="2">
        <v>9502865</v>
      </c>
      <c r="H60" s="2">
        <v>9502865</v>
      </c>
      <c r="I60" s="2">
        <v>9502865</v>
      </c>
      <c r="J60" s="2">
        <v>9502865</v>
      </c>
      <c r="K60" s="2">
        <v>9502865</v>
      </c>
      <c r="L60" s="2">
        <v>9502865</v>
      </c>
      <c r="M60" s="2">
        <v>9502865</v>
      </c>
      <c r="N60" s="2">
        <v>9502865</v>
      </c>
      <c r="O60" s="2">
        <v>9502865</v>
      </c>
      <c r="P60" s="2">
        <f t="shared" si="8"/>
        <v>123537245</v>
      </c>
      <c r="Q60" s="2">
        <f t="shared" si="9"/>
        <v>9502865</v>
      </c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3"/>
    </row>
    <row r="61" spans="1:34" x14ac:dyDescent="0.25">
      <c r="A61" s="13" t="s">
        <v>100</v>
      </c>
      <c r="B61" s="13" t="s">
        <v>101</v>
      </c>
      <c r="C61" s="64">
        <v>-234850</v>
      </c>
      <c r="D61" s="2">
        <v>-234850</v>
      </c>
      <c r="E61" s="2">
        <v>-234850</v>
      </c>
      <c r="F61" s="2">
        <v>-234850</v>
      </c>
      <c r="G61" s="2">
        <v>-234850</v>
      </c>
      <c r="H61" s="2">
        <v>-234850</v>
      </c>
      <c r="I61" s="2">
        <v>-234850</v>
      </c>
      <c r="J61" s="2">
        <v>-234850</v>
      </c>
      <c r="K61" s="2">
        <v>-234850</v>
      </c>
      <c r="L61" s="2">
        <v>-234850</v>
      </c>
      <c r="M61" s="2">
        <v>-234850</v>
      </c>
      <c r="N61" s="2">
        <v>-234850</v>
      </c>
      <c r="O61" s="2">
        <v>-234850</v>
      </c>
      <c r="P61" s="2">
        <f t="shared" si="8"/>
        <v>-3053050</v>
      </c>
      <c r="Q61" s="2">
        <f t="shared" si="9"/>
        <v>-234850</v>
      </c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3"/>
    </row>
    <row r="62" spans="1:34" x14ac:dyDescent="0.25">
      <c r="A62" s="13" t="s">
        <v>102</v>
      </c>
      <c r="B62" s="13" t="s">
        <v>103</v>
      </c>
      <c r="C62" s="64">
        <v>2980568</v>
      </c>
      <c r="D62" s="2">
        <v>2980568</v>
      </c>
      <c r="E62" s="2">
        <v>2980568</v>
      </c>
      <c r="F62" s="2">
        <v>2980568</v>
      </c>
      <c r="G62" s="2">
        <v>2980568</v>
      </c>
      <c r="H62" s="2">
        <v>2980568</v>
      </c>
      <c r="I62" s="2">
        <v>2980568</v>
      </c>
      <c r="J62" s="2">
        <v>2980568</v>
      </c>
      <c r="K62" s="2">
        <v>2980568</v>
      </c>
      <c r="L62" s="2">
        <v>2980568</v>
      </c>
      <c r="M62" s="2">
        <v>2980568</v>
      </c>
      <c r="N62" s="2">
        <v>2980568</v>
      </c>
      <c r="O62" s="2">
        <v>2980568</v>
      </c>
      <c r="P62" s="2">
        <f t="shared" si="8"/>
        <v>38747384</v>
      </c>
      <c r="Q62" s="2">
        <f t="shared" si="9"/>
        <v>2980568</v>
      </c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3"/>
    </row>
    <row r="63" spans="1:34" x14ac:dyDescent="0.25">
      <c r="A63" s="13" t="s">
        <v>104</v>
      </c>
      <c r="B63" s="13" t="s">
        <v>105</v>
      </c>
      <c r="C63" s="64">
        <v>77756946</v>
      </c>
      <c r="D63" s="2">
        <v>77756946</v>
      </c>
      <c r="E63" s="2">
        <v>77756946</v>
      </c>
      <c r="F63" s="2">
        <v>77756946</v>
      </c>
      <c r="G63" s="2">
        <v>77756946</v>
      </c>
      <c r="H63" s="2">
        <v>77756946</v>
      </c>
      <c r="I63" s="2">
        <v>77756946</v>
      </c>
      <c r="J63" s="2">
        <v>77756946</v>
      </c>
      <c r="K63" s="2">
        <v>77756946</v>
      </c>
      <c r="L63" s="2">
        <v>77756946</v>
      </c>
      <c r="M63" s="2">
        <v>77756946</v>
      </c>
      <c r="N63" s="2">
        <v>77756946</v>
      </c>
      <c r="O63" s="2">
        <v>77756946</v>
      </c>
      <c r="P63" s="2">
        <f t="shared" si="8"/>
        <v>1010840298</v>
      </c>
      <c r="Q63" s="2">
        <f t="shared" si="9"/>
        <v>77756946</v>
      </c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3"/>
    </row>
    <row r="64" spans="1:34" x14ac:dyDescent="0.25">
      <c r="A64" s="13" t="s">
        <v>106</v>
      </c>
      <c r="B64" s="13" t="s">
        <v>107</v>
      </c>
      <c r="C64" s="64">
        <v>-388179</v>
      </c>
      <c r="D64" s="2">
        <v>-388179</v>
      </c>
      <c r="E64" s="2">
        <v>-388179</v>
      </c>
      <c r="F64" s="2">
        <v>-388179</v>
      </c>
      <c r="G64" s="2">
        <v>-388179</v>
      </c>
      <c r="H64" s="2">
        <v>-388179</v>
      </c>
      <c r="I64" s="2">
        <v>-388179</v>
      </c>
      <c r="J64" s="2">
        <v>-388179</v>
      </c>
      <c r="K64" s="2">
        <v>-388179</v>
      </c>
      <c r="L64" s="2">
        <v>-388179</v>
      </c>
      <c r="M64" s="2">
        <v>-388179</v>
      </c>
      <c r="N64" s="2">
        <v>-388179</v>
      </c>
      <c r="O64" s="2">
        <v>-388179</v>
      </c>
      <c r="P64" s="2">
        <f t="shared" si="8"/>
        <v>-5046327</v>
      </c>
      <c r="Q64" s="2">
        <f t="shared" si="9"/>
        <v>-388179</v>
      </c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3"/>
    </row>
    <row r="65" spans="1:34" x14ac:dyDescent="0.25">
      <c r="C65" s="26" t="s">
        <v>67</v>
      </c>
      <c r="D65" s="26" t="s">
        <v>67</v>
      </c>
      <c r="E65" s="26" t="s">
        <v>67</v>
      </c>
      <c r="F65" s="26" t="s">
        <v>67</v>
      </c>
      <c r="G65" s="26" t="s">
        <v>67</v>
      </c>
      <c r="H65" s="26" t="s">
        <v>67</v>
      </c>
      <c r="I65" s="26" t="s">
        <v>67</v>
      </c>
      <c r="J65" s="26" t="s">
        <v>67</v>
      </c>
      <c r="K65" s="26" t="s">
        <v>67</v>
      </c>
      <c r="L65" s="26" t="s">
        <v>67</v>
      </c>
      <c r="M65" s="26" t="s">
        <v>67</v>
      </c>
      <c r="N65" s="26" t="s">
        <v>67</v>
      </c>
      <c r="O65" s="26" t="s">
        <v>67</v>
      </c>
      <c r="P65" s="26" t="s">
        <v>67</v>
      </c>
      <c r="Q65" s="26" t="s">
        <v>67</v>
      </c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3"/>
    </row>
    <row r="66" spans="1:34" x14ac:dyDescent="0.25">
      <c r="A66" s="21" t="s">
        <v>108</v>
      </c>
      <c r="B66" s="22"/>
      <c r="C66" s="23">
        <f>SUM(C59:C64)</f>
        <v>109316630</v>
      </c>
      <c r="D66" s="23">
        <f t="shared" ref="D66:P66" si="10">SUM(D59:D64)</f>
        <v>109316630</v>
      </c>
      <c r="E66" s="23">
        <f t="shared" si="10"/>
        <v>109316630</v>
      </c>
      <c r="F66" s="23">
        <f t="shared" si="10"/>
        <v>109316630</v>
      </c>
      <c r="G66" s="23">
        <f t="shared" si="10"/>
        <v>109316630</v>
      </c>
      <c r="H66" s="23">
        <f t="shared" si="10"/>
        <v>109316630</v>
      </c>
      <c r="I66" s="23">
        <f t="shared" si="10"/>
        <v>109316630</v>
      </c>
      <c r="J66" s="23">
        <f t="shared" si="10"/>
        <v>109316630</v>
      </c>
      <c r="K66" s="23">
        <f t="shared" si="10"/>
        <v>109316630</v>
      </c>
      <c r="L66" s="23">
        <f t="shared" si="10"/>
        <v>109316630</v>
      </c>
      <c r="M66" s="23">
        <f t="shared" si="10"/>
        <v>109316630</v>
      </c>
      <c r="N66" s="23">
        <f t="shared" si="10"/>
        <v>109316630</v>
      </c>
      <c r="O66" s="23">
        <f t="shared" si="10"/>
        <v>109316630</v>
      </c>
      <c r="P66" s="23">
        <f t="shared" si="10"/>
        <v>1421116190</v>
      </c>
      <c r="Q66" s="23">
        <v>109316630</v>
      </c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3"/>
    </row>
    <row r="67" spans="1:34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3"/>
    </row>
    <row r="68" spans="1:34" ht="15.75" x14ac:dyDescent="0.3">
      <c r="A68" s="18" t="s">
        <v>109</v>
      </c>
      <c r="B68" s="19"/>
      <c r="C68" s="20">
        <f>C66</f>
        <v>109316630</v>
      </c>
      <c r="D68" s="20">
        <f t="shared" ref="D68:Q68" si="11">D66</f>
        <v>109316630</v>
      </c>
      <c r="E68" s="20">
        <f t="shared" si="11"/>
        <v>109316630</v>
      </c>
      <c r="F68" s="20">
        <f t="shared" si="11"/>
        <v>109316630</v>
      </c>
      <c r="G68" s="20">
        <f t="shared" si="11"/>
        <v>109316630</v>
      </c>
      <c r="H68" s="20">
        <f t="shared" si="11"/>
        <v>109316630</v>
      </c>
      <c r="I68" s="20">
        <f t="shared" si="11"/>
        <v>109316630</v>
      </c>
      <c r="J68" s="20">
        <f t="shared" si="11"/>
        <v>109316630</v>
      </c>
      <c r="K68" s="20">
        <f t="shared" si="11"/>
        <v>109316630</v>
      </c>
      <c r="L68" s="20">
        <f t="shared" si="11"/>
        <v>109316630</v>
      </c>
      <c r="M68" s="20">
        <f t="shared" si="11"/>
        <v>109316630</v>
      </c>
      <c r="N68" s="20">
        <f t="shared" si="11"/>
        <v>109316630</v>
      </c>
      <c r="O68" s="20">
        <f t="shared" si="11"/>
        <v>109316630</v>
      </c>
      <c r="P68" s="20">
        <f t="shared" si="11"/>
        <v>1421116190</v>
      </c>
      <c r="Q68" s="20">
        <f t="shared" si="11"/>
        <v>109316630</v>
      </c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3"/>
    </row>
    <row r="69" spans="1:34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3"/>
    </row>
    <row r="70" spans="1:34" ht="15.75" x14ac:dyDescent="0.3">
      <c r="A70" s="18" t="s">
        <v>110</v>
      </c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3"/>
    </row>
    <row r="71" spans="1:34" x14ac:dyDescent="0.2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3"/>
    </row>
    <row r="72" spans="1:34" x14ac:dyDescent="0.25">
      <c r="A72" s="21" t="s">
        <v>111</v>
      </c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3"/>
    </row>
    <row r="73" spans="1:34" x14ac:dyDescent="0.25">
      <c r="A73" s="13" t="s">
        <v>112</v>
      </c>
      <c r="B73" s="13" t="s">
        <v>113</v>
      </c>
      <c r="C73" s="64">
        <v>279594</v>
      </c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2">
        <f t="shared" ref="P73:P76" si="12">SUM(C73:O73)</f>
        <v>279594</v>
      </c>
      <c r="Q73" s="2">
        <f t="shared" ref="Q73:Q76" si="13">P73/13</f>
        <v>21507.23076923077</v>
      </c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3"/>
    </row>
    <row r="74" spans="1:34" x14ac:dyDescent="0.25">
      <c r="A74" s="13" t="s">
        <v>114</v>
      </c>
      <c r="B74" s="13" t="s">
        <v>115</v>
      </c>
      <c r="C74" s="64">
        <v>-532716</v>
      </c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2">
        <f t="shared" si="12"/>
        <v>-532716</v>
      </c>
      <c r="Q74" s="2">
        <f t="shared" si="13"/>
        <v>-40978.153846153844</v>
      </c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3"/>
    </row>
    <row r="75" spans="1:34" x14ac:dyDescent="0.25">
      <c r="A75" s="13" t="s">
        <v>116</v>
      </c>
      <c r="B75" s="13" t="s">
        <v>117</v>
      </c>
      <c r="C75" s="64">
        <v>-3980</v>
      </c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2">
        <f t="shared" si="12"/>
        <v>-3980</v>
      </c>
      <c r="Q75" s="2">
        <f t="shared" si="13"/>
        <v>-306.15384615384613</v>
      </c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3"/>
    </row>
    <row r="76" spans="1:34" x14ac:dyDescent="0.25">
      <c r="A76" s="13" t="s">
        <v>118</v>
      </c>
      <c r="B76" s="13" t="s">
        <v>119</v>
      </c>
      <c r="C76" s="64">
        <v>1662505</v>
      </c>
      <c r="D76" s="149">
        <v>13164.789999999921</v>
      </c>
      <c r="E76" s="149">
        <v>0</v>
      </c>
      <c r="F76" s="149">
        <v>0</v>
      </c>
      <c r="G76" s="149">
        <v>0</v>
      </c>
      <c r="H76" s="149">
        <v>0</v>
      </c>
      <c r="I76" s="149">
        <v>0</v>
      </c>
      <c r="J76" s="149">
        <v>0</v>
      </c>
      <c r="K76" s="149">
        <v>0</v>
      </c>
      <c r="L76" s="149">
        <v>0</v>
      </c>
      <c r="M76" s="149">
        <v>0</v>
      </c>
      <c r="N76" s="149">
        <v>0</v>
      </c>
      <c r="O76" s="149">
        <v>0</v>
      </c>
      <c r="P76" s="2">
        <f t="shared" si="12"/>
        <v>1675669.79</v>
      </c>
      <c r="Q76" s="2">
        <f t="shared" si="13"/>
        <v>128897.67615384616</v>
      </c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3"/>
    </row>
    <row r="77" spans="1:34" x14ac:dyDescent="0.25">
      <c r="A77" s="30" t="s">
        <v>120</v>
      </c>
      <c r="B77" s="31"/>
      <c r="C77" s="64">
        <v>0</v>
      </c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24">
        <f t="shared" ref="P77" si="14">SUM(C77:O77)</f>
        <v>0</v>
      </c>
      <c r="Q77" s="32">
        <f>+P77/13</f>
        <v>0</v>
      </c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4"/>
    </row>
    <row r="78" spans="1:34" x14ac:dyDescent="0.25">
      <c r="A78" s="35"/>
      <c r="B78" s="35"/>
      <c r="C78" s="36" t="s">
        <v>67</v>
      </c>
      <c r="D78" s="36" t="s">
        <v>67</v>
      </c>
      <c r="E78" s="36" t="s">
        <v>67</v>
      </c>
      <c r="F78" s="36" t="s">
        <v>67</v>
      </c>
      <c r="G78" s="36" t="s">
        <v>67</v>
      </c>
      <c r="H78" s="36" t="s">
        <v>67</v>
      </c>
      <c r="I78" s="36" t="s">
        <v>67</v>
      </c>
      <c r="J78" s="36" t="s">
        <v>67</v>
      </c>
      <c r="K78" s="36" t="s">
        <v>67</v>
      </c>
      <c r="L78" s="36" t="s">
        <v>67</v>
      </c>
      <c r="M78" s="36" t="s">
        <v>67</v>
      </c>
      <c r="N78" s="36" t="s">
        <v>67</v>
      </c>
      <c r="O78" s="36" t="s">
        <v>67</v>
      </c>
      <c r="P78" s="36" t="s">
        <v>67</v>
      </c>
      <c r="Q78" s="36" t="s">
        <v>67</v>
      </c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3"/>
    </row>
    <row r="79" spans="1:34" x14ac:dyDescent="0.25">
      <c r="A79" s="37" t="s">
        <v>121</v>
      </c>
      <c r="B79" s="38"/>
      <c r="C79" s="39">
        <f>SUM(C73:C77)</f>
        <v>1405403</v>
      </c>
      <c r="D79" s="39">
        <f t="shared" ref="D79:Q79" si="15">SUM(D73:D77)</f>
        <v>13164.789999999921</v>
      </c>
      <c r="E79" s="39">
        <f t="shared" si="15"/>
        <v>0</v>
      </c>
      <c r="F79" s="39">
        <f t="shared" si="15"/>
        <v>0</v>
      </c>
      <c r="G79" s="39">
        <f t="shared" si="15"/>
        <v>0</v>
      </c>
      <c r="H79" s="39">
        <f t="shared" si="15"/>
        <v>0</v>
      </c>
      <c r="I79" s="39">
        <f t="shared" si="15"/>
        <v>0</v>
      </c>
      <c r="J79" s="39">
        <f t="shared" si="15"/>
        <v>0</v>
      </c>
      <c r="K79" s="39">
        <f t="shared" si="15"/>
        <v>0</v>
      </c>
      <c r="L79" s="39">
        <f t="shared" si="15"/>
        <v>0</v>
      </c>
      <c r="M79" s="39">
        <f t="shared" si="15"/>
        <v>0</v>
      </c>
      <c r="N79" s="39">
        <f t="shared" si="15"/>
        <v>0</v>
      </c>
      <c r="O79" s="39">
        <f t="shared" si="15"/>
        <v>0</v>
      </c>
      <c r="P79" s="39">
        <f t="shared" si="15"/>
        <v>1418567.79</v>
      </c>
      <c r="Q79" s="39">
        <f t="shared" si="15"/>
        <v>109120.59923076924</v>
      </c>
      <c r="R79" s="15">
        <f>SUM(T79:Y79)-Q79</f>
        <v>0</v>
      </c>
      <c r="S79" s="15" t="s">
        <v>16</v>
      </c>
      <c r="T79" s="15">
        <f>$Q79*T$5</f>
        <v>23242.687636153845</v>
      </c>
      <c r="U79" s="15">
        <f t="shared" ref="U79:Y79" si="16">$Q79*U$5</f>
        <v>37973.968532307692</v>
      </c>
      <c r="V79" s="15">
        <f t="shared" si="16"/>
        <v>15713.366289230769</v>
      </c>
      <c r="W79" s="15">
        <f t="shared" si="16"/>
        <v>109.12059923076924</v>
      </c>
      <c r="X79" s="15">
        <f t="shared" si="16"/>
        <v>109.12059923076924</v>
      </c>
      <c r="Y79" s="15">
        <f t="shared" si="16"/>
        <v>31972.335574615383</v>
      </c>
      <c r="Z79" s="15"/>
      <c r="AA79" s="15" t="s">
        <v>16</v>
      </c>
      <c r="AB79" s="15">
        <f>$O79*AB$5</f>
        <v>0</v>
      </c>
      <c r="AC79" s="15">
        <f t="shared" ref="AC79:AG79" si="17">$O79*AC$5</f>
        <v>0</v>
      </c>
      <c r="AD79" s="15">
        <f t="shared" si="17"/>
        <v>0</v>
      </c>
      <c r="AE79" s="15">
        <f t="shared" si="17"/>
        <v>0</v>
      </c>
      <c r="AF79" s="15">
        <f t="shared" si="17"/>
        <v>0</v>
      </c>
      <c r="AG79" s="15">
        <f t="shared" si="17"/>
        <v>0</v>
      </c>
      <c r="AH79" s="27">
        <f>SUM(AB79:AG79)-O79</f>
        <v>0</v>
      </c>
    </row>
    <row r="80" spans="1:34" x14ac:dyDescent="0.25">
      <c r="A80" s="35"/>
      <c r="B80" s="35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3"/>
    </row>
    <row r="81" spans="1:34" x14ac:dyDescent="0.25">
      <c r="A81" s="21" t="s">
        <v>122</v>
      </c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3"/>
    </row>
    <row r="82" spans="1:34" x14ac:dyDescent="0.25">
      <c r="A82" s="13" t="s">
        <v>123</v>
      </c>
      <c r="B82" s="13" t="s">
        <v>124</v>
      </c>
      <c r="C82" s="64">
        <v>-2464378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2">
        <f t="shared" ref="P82:P84" si="18">SUM(C82:O82)</f>
        <v>-2464378</v>
      </c>
      <c r="Q82" s="2">
        <f t="shared" ref="Q82:Q84" si="19">P82/13</f>
        <v>-189567.53846153847</v>
      </c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3"/>
    </row>
    <row r="83" spans="1:34" x14ac:dyDescent="0.25">
      <c r="A83" s="13" t="s">
        <v>125</v>
      </c>
      <c r="B83" s="13" t="s">
        <v>126</v>
      </c>
      <c r="C83" s="64">
        <v>-781627</v>
      </c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2">
        <f t="shared" si="18"/>
        <v>-781627</v>
      </c>
      <c r="Q83" s="2">
        <f t="shared" si="19"/>
        <v>-60125.153846153844</v>
      </c>
      <c r="R83" s="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x14ac:dyDescent="0.25">
      <c r="A84" s="13" t="s">
        <v>127</v>
      </c>
      <c r="B84" s="13" t="s">
        <v>128</v>
      </c>
      <c r="C84" s="64">
        <v>2464378</v>
      </c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2">
        <f t="shared" si="18"/>
        <v>2464378</v>
      </c>
      <c r="Q84" s="2">
        <f t="shared" si="19"/>
        <v>189567.53846153847</v>
      </c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3"/>
    </row>
    <row r="85" spans="1:34" x14ac:dyDescent="0.25">
      <c r="C85" s="26" t="s">
        <v>67</v>
      </c>
      <c r="D85" s="26" t="s">
        <v>67</v>
      </c>
      <c r="E85" s="26" t="s">
        <v>67</v>
      </c>
      <c r="F85" s="26" t="s">
        <v>67</v>
      </c>
      <c r="G85" s="26" t="s">
        <v>67</v>
      </c>
      <c r="H85" s="26" t="s">
        <v>67</v>
      </c>
      <c r="I85" s="26" t="s">
        <v>67</v>
      </c>
      <c r="J85" s="26" t="s">
        <v>67</v>
      </c>
      <c r="K85" s="26" t="s">
        <v>67</v>
      </c>
      <c r="L85" s="26" t="s">
        <v>67</v>
      </c>
      <c r="M85" s="26" t="s">
        <v>67</v>
      </c>
      <c r="N85" s="26" t="s">
        <v>67</v>
      </c>
      <c r="O85" s="26" t="s">
        <v>67</v>
      </c>
      <c r="P85" s="26" t="s">
        <v>67</v>
      </c>
      <c r="Q85" s="26" t="s">
        <v>67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3"/>
    </row>
    <row r="86" spans="1:34" x14ac:dyDescent="0.25">
      <c r="A86" s="21" t="s">
        <v>129</v>
      </c>
      <c r="B86" s="22"/>
      <c r="C86" s="23">
        <f>SUM(C82:C84)</f>
        <v>-781627</v>
      </c>
      <c r="D86" s="23">
        <f t="shared" ref="D86:Q86" si="20">SUM(D82:D84)</f>
        <v>0</v>
      </c>
      <c r="E86" s="23">
        <f t="shared" si="20"/>
        <v>0</v>
      </c>
      <c r="F86" s="23">
        <f t="shared" si="20"/>
        <v>0</v>
      </c>
      <c r="G86" s="23">
        <f t="shared" si="20"/>
        <v>0</v>
      </c>
      <c r="H86" s="23">
        <f t="shared" si="20"/>
        <v>0</v>
      </c>
      <c r="I86" s="23">
        <f t="shared" si="20"/>
        <v>0</v>
      </c>
      <c r="J86" s="23">
        <f t="shared" si="20"/>
        <v>0</v>
      </c>
      <c r="K86" s="23">
        <f t="shared" si="20"/>
        <v>0</v>
      </c>
      <c r="L86" s="23">
        <f t="shared" si="20"/>
        <v>0</v>
      </c>
      <c r="M86" s="23">
        <f t="shared" si="20"/>
        <v>0</v>
      </c>
      <c r="N86" s="23">
        <f t="shared" si="20"/>
        <v>0</v>
      </c>
      <c r="O86" s="23">
        <f t="shared" si="20"/>
        <v>0</v>
      </c>
      <c r="P86" s="23">
        <f t="shared" si="20"/>
        <v>-781627</v>
      </c>
      <c r="Q86" s="23">
        <f t="shared" si="20"/>
        <v>-60125.153846153844</v>
      </c>
      <c r="R86" s="15">
        <f>SUM(T86:Y86)-Q86</f>
        <v>0</v>
      </c>
      <c r="S86" s="15" t="s">
        <v>16</v>
      </c>
      <c r="T86" s="15">
        <f t="shared" ref="T86:Y86" si="21">$Q86*T5</f>
        <v>-12806.657769230769</v>
      </c>
      <c r="U86" s="15">
        <f t="shared" si="21"/>
        <v>-20923.553538461536</v>
      </c>
      <c r="V86" s="15">
        <f t="shared" si="21"/>
        <v>-8658.0221538461537</v>
      </c>
      <c r="W86" s="15">
        <f t="shared" si="21"/>
        <v>-60.125153846153843</v>
      </c>
      <c r="X86" s="15">
        <f t="shared" si="21"/>
        <v>-60.125153846153843</v>
      </c>
      <c r="Y86" s="15">
        <f t="shared" si="21"/>
        <v>-17616.670076923074</v>
      </c>
      <c r="Z86" s="15"/>
      <c r="AA86" s="15" t="s">
        <v>16</v>
      </c>
      <c r="AB86" s="15">
        <f t="shared" ref="AB86:AG86" si="22">$O86*AB$5</f>
        <v>0</v>
      </c>
      <c r="AC86" s="15">
        <f t="shared" si="22"/>
        <v>0</v>
      </c>
      <c r="AD86" s="15">
        <f t="shared" si="22"/>
        <v>0</v>
      </c>
      <c r="AE86" s="15">
        <f t="shared" si="22"/>
        <v>0</v>
      </c>
      <c r="AF86" s="15">
        <f t="shared" si="22"/>
        <v>0</v>
      </c>
      <c r="AG86" s="15">
        <f t="shared" si="22"/>
        <v>0</v>
      </c>
      <c r="AH86" s="27">
        <f>SUM(AB86:AG86)-O86</f>
        <v>0</v>
      </c>
    </row>
    <row r="87" spans="1:34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3"/>
    </row>
    <row r="88" spans="1:34" x14ac:dyDescent="0.25">
      <c r="A88" s="21" t="s">
        <v>130</v>
      </c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3"/>
    </row>
    <row r="89" spans="1:34" x14ac:dyDescent="0.25">
      <c r="A89" s="13" t="s">
        <v>131</v>
      </c>
      <c r="B89" s="13" t="s">
        <v>132</v>
      </c>
      <c r="C89" s="64">
        <v>0</v>
      </c>
      <c r="D89" s="64">
        <v>0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64">
        <v>0</v>
      </c>
      <c r="N89" s="64">
        <v>0</v>
      </c>
      <c r="O89" s="64">
        <v>0</v>
      </c>
      <c r="P89" s="2">
        <f t="shared" ref="P89:P90" si="23">SUM(C89:O89)</f>
        <v>0</v>
      </c>
      <c r="Q89" s="2">
        <f t="shared" ref="Q89:Q90" si="24">P89/13</f>
        <v>0</v>
      </c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3"/>
    </row>
    <row r="90" spans="1:34" x14ac:dyDescent="0.25">
      <c r="A90" s="13" t="s">
        <v>133</v>
      </c>
      <c r="B90" s="13" t="s">
        <v>134</v>
      </c>
      <c r="C90" s="64">
        <v>-671</v>
      </c>
      <c r="D90" s="64">
        <v>-671</v>
      </c>
      <c r="E90" s="64">
        <v>-671</v>
      </c>
      <c r="F90" s="64">
        <v>-671</v>
      </c>
      <c r="G90" s="64">
        <v>-671</v>
      </c>
      <c r="H90" s="64">
        <v>-671</v>
      </c>
      <c r="I90" s="64">
        <v>-671</v>
      </c>
      <c r="J90" s="64">
        <v>-671</v>
      </c>
      <c r="K90" s="64">
        <v>-671</v>
      </c>
      <c r="L90" s="64">
        <v>-671</v>
      </c>
      <c r="M90" s="64">
        <v>-671</v>
      </c>
      <c r="N90" s="64">
        <v>-671</v>
      </c>
      <c r="O90" s="64">
        <v>-671</v>
      </c>
      <c r="P90" s="2">
        <f t="shared" si="23"/>
        <v>-8723</v>
      </c>
      <c r="Q90" s="2">
        <f t="shared" si="24"/>
        <v>-671</v>
      </c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3"/>
    </row>
    <row r="91" spans="1:34" x14ac:dyDescent="0.25">
      <c r="C91" s="26" t="s">
        <v>67</v>
      </c>
      <c r="D91" s="26" t="s">
        <v>67</v>
      </c>
      <c r="E91" s="26" t="s">
        <v>67</v>
      </c>
      <c r="F91" s="26" t="s">
        <v>67</v>
      </c>
      <c r="G91" s="26" t="s">
        <v>67</v>
      </c>
      <c r="H91" s="26" t="s">
        <v>67</v>
      </c>
      <c r="I91" s="26" t="s">
        <v>67</v>
      </c>
      <c r="J91" s="26" t="s">
        <v>67</v>
      </c>
      <c r="K91" s="26" t="s">
        <v>67</v>
      </c>
      <c r="L91" s="26" t="s">
        <v>67</v>
      </c>
      <c r="M91" s="26" t="s">
        <v>67</v>
      </c>
      <c r="N91" s="26" t="s">
        <v>67</v>
      </c>
      <c r="O91" s="26" t="s">
        <v>67</v>
      </c>
      <c r="P91" s="26" t="s">
        <v>67</v>
      </c>
      <c r="Q91" s="26" t="s">
        <v>67</v>
      </c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3"/>
    </row>
    <row r="92" spans="1:34" x14ac:dyDescent="0.25">
      <c r="A92" s="21" t="s">
        <v>135</v>
      </c>
      <c r="B92" s="22"/>
      <c r="C92" s="23">
        <f>SUM(C89:C90)</f>
        <v>-671</v>
      </c>
      <c r="D92" s="23">
        <f t="shared" ref="D92:Q92" si="25">SUM(D89:D90)</f>
        <v>-671</v>
      </c>
      <c r="E92" s="23">
        <f t="shared" si="25"/>
        <v>-671</v>
      </c>
      <c r="F92" s="23">
        <f t="shared" si="25"/>
        <v>-671</v>
      </c>
      <c r="G92" s="23">
        <f t="shared" si="25"/>
        <v>-671</v>
      </c>
      <c r="H92" s="23">
        <f t="shared" si="25"/>
        <v>-671</v>
      </c>
      <c r="I92" s="23">
        <f t="shared" si="25"/>
        <v>-671</v>
      </c>
      <c r="J92" s="23">
        <f t="shared" si="25"/>
        <v>-671</v>
      </c>
      <c r="K92" s="23">
        <f t="shared" si="25"/>
        <v>-671</v>
      </c>
      <c r="L92" s="23">
        <f t="shared" si="25"/>
        <v>-671</v>
      </c>
      <c r="M92" s="23">
        <f t="shared" si="25"/>
        <v>-671</v>
      </c>
      <c r="N92" s="23">
        <f t="shared" si="25"/>
        <v>-671</v>
      </c>
      <c r="O92" s="23">
        <f t="shared" si="25"/>
        <v>-671</v>
      </c>
      <c r="P92" s="23">
        <f t="shared" si="25"/>
        <v>-8723</v>
      </c>
      <c r="Q92" s="23">
        <f t="shared" si="25"/>
        <v>-671</v>
      </c>
      <c r="R92" s="15">
        <f>SUM(T92:Y92)-Q92</f>
        <v>0</v>
      </c>
      <c r="S92" s="15" t="s">
        <v>16</v>
      </c>
      <c r="T92" s="15">
        <f t="shared" ref="T92:Y92" si="26">$Q92*T5</f>
        <v>-142.923</v>
      </c>
      <c r="U92" s="15">
        <f t="shared" si="26"/>
        <v>-233.50799999999998</v>
      </c>
      <c r="V92" s="15">
        <f t="shared" si="26"/>
        <v>-96.623999999999995</v>
      </c>
      <c r="W92" s="15">
        <f t="shared" si="26"/>
        <v>-0.67100000000000004</v>
      </c>
      <c r="X92" s="15">
        <f t="shared" si="26"/>
        <v>-0.67100000000000004</v>
      </c>
      <c r="Y92" s="15">
        <f t="shared" si="26"/>
        <v>-196.60299999999998</v>
      </c>
      <c r="Z92" s="15"/>
      <c r="AA92" s="15" t="s">
        <v>16</v>
      </c>
      <c r="AB92" s="15">
        <f t="shared" ref="AB92:AG92" si="27">$O92*AB$5</f>
        <v>-142.923</v>
      </c>
      <c r="AC92" s="15">
        <f t="shared" si="27"/>
        <v>-233.50799999999998</v>
      </c>
      <c r="AD92" s="15">
        <f t="shared" si="27"/>
        <v>-96.623999999999995</v>
      </c>
      <c r="AE92" s="15">
        <f t="shared" si="27"/>
        <v>-0.67100000000000004</v>
      </c>
      <c r="AF92" s="15">
        <f t="shared" si="27"/>
        <v>-0.67100000000000004</v>
      </c>
      <c r="AG92" s="15">
        <f t="shared" si="27"/>
        <v>-196.60299999999998</v>
      </c>
      <c r="AH92" s="27">
        <f>SUM(AB92:AG92)-O92</f>
        <v>0</v>
      </c>
    </row>
    <row r="93" spans="1:34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3"/>
    </row>
    <row r="94" spans="1:34" x14ac:dyDescent="0.25">
      <c r="A94" s="21" t="s">
        <v>136</v>
      </c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3"/>
    </row>
    <row r="95" spans="1:34" x14ac:dyDescent="0.25">
      <c r="A95" s="13" t="s">
        <v>137</v>
      </c>
      <c r="B95" s="13" t="s">
        <v>138</v>
      </c>
      <c r="C95" s="64">
        <v>5591627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2">
        <f t="shared" ref="P95:P131" si="28">SUM(C95:O95)</f>
        <v>5591627</v>
      </c>
      <c r="Q95" s="2">
        <f t="shared" ref="Q95:Q131" si="29">P95/13</f>
        <v>430125.15384615387</v>
      </c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3"/>
    </row>
    <row r="96" spans="1:34" x14ac:dyDescent="0.25">
      <c r="A96" s="13" t="s">
        <v>139</v>
      </c>
      <c r="B96" s="13" t="s">
        <v>140</v>
      </c>
      <c r="C96" s="64">
        <v>10140</v>
      </c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2">
        <f t="shared" si="28"/>
        <v>10140</v>
      </c>
      <c r="Q96" s="2">
        <f t="shared" si="29"/>
        <v>780</v>
      </c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3"/>
    </row>
    <row r="97" spans="1:34" x14ac:dyDescent="0.25">
      <c r="A97" s="13" t="s">
        <v>141</v>
      </c>
      <c r="B97" s="13" t="s">
        <v>142</v>
      </c>
      <c r="C97" s="64">
        <v>-878937</v>
      </c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2">
        <f t="shared" si="28"/>
        <v>-878937</v>
      </c>
      <c r="Q97" s="2">
        <f t="shared" si="29"/>
        <v>-67610.538461538468</v>
      </c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3"/>
    </row>
    <row r="98" spans="1:34" x14ac:dyDescent="0.25">
      <c r="A98" s="13" t="s">
        <v>143</v>
      </c>
      <c r="B98" s="13" t="s">
        <v>144</v>
      </c>
      <c r="C98" s="64">
        <v>261061369</v>
      </c>
      <c r="D98" s="150">
        <v>-60226998.749999911</v>
      </c>
      <c r="E98" s="150">
        <v>-61021360.801035136</v>
      </c>
      <c r="F98" s="150">
        <v>-61043017.652986035</v>
      </c>
      <c r="G98" s="150">
        <v>-61069694.230698034</v>
      </c>
      <c r="H98" s="150">
        <v>-61097362.169253446</v>
      </c>
      <c r="I98" s="150">
        <v>-61096698.181434013</v>
      </c>
      <c r="J98" s="150">
        <v>-61111783.75042101</v>
      </c>
      <c r="K98" s="150">
        <v>-61128890.992644891</v>
      </c>
      <c r="L98" s="150">
        <v>-61128078.426548213</v>
      </c>
      <c r="M98" s="150">
        <v>-61143163.99553521</v>
      </c>
      <c r="N98" s="150">
        <v>-59614085.431140617</v>
      </c>
      <c r="O98" s="150">
        <v>-59613529.06158489</v>
      </c>
      <c r="P98" s="2">
        <f t="shared" si="28"/>
        <v>-468233294.44328135</v>
      </c>
      <c r="Q98" s="2">
        <f t="shared" si="29"/>
        <v>-36017945.726406261</v>
      </c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3"/>
    </row>
    <row r="99" spans="1:34" x14ac:dyDescent="0.25">
      <c r="A99" s="13" t="s">
        <v>498</v>
      </c>
      <c r="B99" s="13"/>
      <c r="C99" s="64">
        <v>0</v>
      </c>
      <c r="D99" s="153">
        <v>461354.46999991685</v>
      </c>
      <c r="E99" s="153">
        <v>475999.4699999094</v>
      </c>
      <c r="F99" s="153">
        <v>490644.46999990195</v>
      </c>
      <c r="G99" s="153">
        <v>505289.46999990195</v>
      </c>
      <c r="H99" s="153">
        <v>519934.4699999094</v>
      </c>
      <c r="I99" s="153">
        <v>522579.4699999094</v>
      </c>
      <c r="J99" s="153">
        <v>525224.46999990195</v>
      </c>
      <c r="K99" s="153">
        <v>527869.46999990195</v>
      </c>
      <c r="L99" s="153">
        <v>530514.46999990195</v>
      </c>
      <c r="M99" s="153">
        <v>533159.4699998945</v>
      </c>
      <c r="N99" s="153">
        <v>535804.4699998945</v>
      </c>
      <c r="O99" s="153">
        <v>538449.46999988705</v>
      </c>
      <c r="P99" s="2">
        <f t="shared" ref="P99" si="30">SUM(C99:O99)</f>
        <v>6166823.6399988309</v>
      </c>
      <c r="Q99" s="2">
        <f t="shared" si="29"/>
        <v>474371.04923067929</v>
      </c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3"/>
    </row>
    <row r="100" spans="1:34" x14ac:dyDescent="0.25">
      <c r="A100" s="13" t="s">
        <v>499</v>
      </c>
      <c r="B100" s="13"/>
      <c r="C100" s="64"/>
      <c r="D100" s="2">
        <v>47574.833584166998</v>
      </c>
      <c r="E100" s="2">
        <v>95149.457168333203</v>
      </c>
      <c r="F100" s="2">
        <v>142724.08075249201</v>
      </c>
      <c r="G100" s="2">
        <v>190298.704336658</v>
      </c>
      <c r="H100" s="2">
        <v>237873.327920824</v>
      </c>
      <c r="I100" s="2">
        <v>285447.95150498999</v>
      </c>
      <c r="J100" s="2">
        <v>333022.575089149</v>
      </c>
      <c r="K100" s="2">
        <v>380597.198673315</v>
      </c>
      <c r="L100" s="2">
        <v>428171.82225748198</v>
      </c>
      <c r="M100" s="2">
        <v>475746.44584164</v>
      </c>
      <c r="N100" s="2">
        <v>523321.069425806</v>
      </c>
      <c r="O100" s="2">
        <v>570895.69300997304</v>
      </c>
      <c r="P100" s="2">
        <f t="shared" ref="P100" si="31">SUM(C100:O100)</f>
        <v>3710823.1595648294</v>
      </c>
      <c r="Q100" s="2">
        <f t="shared" ref="Q100" si="32">P100/13</f>
        <v>285447.93535114074</v>
      </c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3"/>
    </row>
    <row r="101" spans="1:34" x14ac:dyDescent="0.25">
      <c r="A101" s="13"/>
      <c r="B101" s="13"/>
      <c r="C101" s="64"/>
      <c r="D101" s="2">
        <v>390444.49000000209</v>
      </c>
      <c r="E101" s="2">
        <v>393923.96999999136</v>
      </c>
      <c r="F101" s="2">
        <v>397414.24000000209</v>
      </c>
      <c r="G101" s="2">
        <v>400915.3200000003</v>
      </c>
      <c r="H101" s="2">
        <v>404427.27000000328</v>
      </c>
      <c r="I101" s="2">
        <v>407950.09000000358</v>
      </c>
      <c r="J101" s="2">
        <v>411483.84000000358</v>
      </c>
      <c r="K101" s="2">
        <v>415028.53999999911</v>
      </c>
      <c r="L101" s="2">
        <v>418584.23000000417</v>
      </c>
      <c r="M101" s="2">
        <v>422150.95000000298</v>
      </c>
      <c r="N101" s="2">
        <v>425728.71999999881</v>
      </c>
      <c r="O101" s="2">
        <v>429317.57999999821</v>
      </c>
      <c r="P101" s="2">
        <f t="shared" ref="P101" si="33">SUM(C101:O101)</f>
        <v>4917369.2400000095</v>
      </c>
      <c r="Q101" s="2">
        <f t="shared" ref="Q101" si="34">P101/13</f>
        <v>378259.17230769305</v>
      </c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3"/>
    </row>
    <row r="102" spans="1:34" x14ac:dyDescent="0.25">
      <c r="A102" s="13" t="s">
        <v>145</v>
      </c>
      <c r="B102" s="13" t="s">
        <v>146</v>
      </c>
      <c r="C102" s="64">
        <v>2513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2">
        <f t="shared" si="28"/>
        <v>2513</v>
      </c>
      <c r="Q102" s="2">
        <f t="shared" si="29"/>
        <v>193.30769230769232</v>
      </c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3"/>
    </row>
    <row r="103" spans="1:34" x14ac:dyDescent="0.25">
      <c r="A103" s="13" t="s">
        <v>147</v>
      </c>
      <c r="B103" s="13" t="s">
        <v>148</v>
      </c>
      <c r="C103" s="64">
        <v>717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2">
        <f t="shared" si="28"/>
        <v>717</v>
      </c>
      <c r="Q103" s="2">
        <f t="shared" si="29"/>
        <v>55.153846153846153</v>
      </c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3"/>
    </row>
    <row r="104" spans="1:34" x14ac:dyDescent="0.25">
      <c r="A104" s="13" t="s">
        <v>149</v>
      </c>
      <c r="B104" s="13" t="s">
        <v>150</v>
      </c>
      <c r="C104" s="64">
        <v>28433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2">
        <f t="shared" si="28"/>
        <v>28433</v>
      </c>
      <c r="Q104" s="2">
        <f t="shared" si="29"/>
        <v>2187.1538461538462</v>
      </c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3"/>
    </row>
    <row r="105" spans="1:34" x14ac:dyDescent="0.25">
      <c r="A105" s="13" t="s">
        <v>151</v>
      </c>
      <c r="B105" s="13" t="s">
        <v>152</v>
      </c>
      <c r="C105" s="64">
        <v>-176556469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2">
        <f t="shared" si="28"/>
        <v>-176556469</v>
      </c>
      <c r="Q105" s="2">
        <f t="shared" si="29"/>
        <v>-13581266.846153846</v>
      </c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3"/>
    </row>
    <row r="106" spans="1:34" x14ac:dyDescent="0.25">
      <c r="A106" s="13" t="s">
        <v>153</v>
      </c>
      <c r="B106" s="13" t="s">
        <v>154</v>
      </c>
      <c r="C106" s="64">
        <v>229881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2">
        <f t="shared" si="28"/>
        <v>229881</v>
      </c>
      <c r="Q106" s="2">
        <f t="shared" si="29"/>
        <v>17683.153846153848</v>
      </c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3"/>
    </row>
    <row r="107" spans="1:34" x14ac:dyDescent="0.25">
      <c r="A107" s="13" t="s">
        <v>155</v>
      </c>
      <c r="B107" s="13" t="s">
        <v>156</v>
      </c>
      <c r="C107" s="64">
        <v>205593022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2">
        <f t="shared" si="28"/>
        <v>205593022</v>
      </c>
      <c r="Q107" s="2">
        <f t="shared" si="29"/>
        <v>15814847.846153846</v>
      </c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3"/>
    </row>
    <row r="108" spans="1:34" x14ac:dyDescent="0.25">
      <c r="A108" s="13" t="s">
        <v>157</v>
      </c>
      <c r="B108" s="13" t="s">
        <v>158</v>
      </c>
      <c r="C108" s="64">
        <v>1232745</v>
      </c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2">
        <f t="shared" si="28"/>
        <v>1232745</v>
      </c>
      <c r="Q108" s="2">
        <f t="shared" si="29"/>
        <v>94826.538461538468</v>
      </c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3"/>
    </row>
    <row r="109" spans="1:34" x14ac:dyDescent="0.25">
      <c r="A109" s="13" t="s">
        <v>159</v>
      </c>
      <c r="B109" s="13" t="s">
        <v>160</v>
      </c>
      <c r="C109" s="64">
        <v>14639395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2">
        <f t="shared" si="28"/>
        <v>14639395</v>
      </c>
      <c r="Q109" s="2">
        <f t="shared" si="29"/>
        <v>1126107.3076923077</v>
      </c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3"/>
    </row>
    <row r="110" spans="1:34" x14ac:dyDescent="0.25">
      <c r="A110" s="13" t="s">
        <v>161</v>
      </c>
      <c r="B110" s="13" t="s">
        <v>162</v>
      </c>
      <c r="C110" s="64">
        <v>20662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2">
        <f t="shared" si="28"/>
        <v>20662</v>
      </c>
      <c r="Q110" s="2">
        <f t="shared" si="29"/>
        <v>1589.3846153846155</v>
      </c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3"/>
    </row>
    <row r="111" spans="1:34" x14ac:dyDescent="0.25">
      <c r="A111" s="13" t="s">
        <v>163</v>
      </c>
      <c r="B111" s="13" t="s">
        <v>164</v>
      </c>
      <c r="C111" s="64">
        <v>76336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2">
        <f t="shared" si="28"/>
        <v>76336</v>
      </c>
      <c r="Q111" s="2">
        <f t="shared" si="29"/>
        <v>5872</v>
      </c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3"/>
    </row>
    <row r="112" spans="1:34" x14ac:dyDescent="0.25">
      <c r="A112" s="13" t="s">
        <v>165</v>
      </c>
      <c r="B112" s="13" t="s">
        <v>166</v>
      </c>
      <c r="C112" s="64">
        <v>69877</v>
      </c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2">
        <f t="shared" si="28"/>
        <v>69877</v>
      </c>
      <c r="Q112" s="2">
        <f t="shared" si="29"/>
        <v>5375.1538461538457</v>
      </c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3"/>
    </row>
    <row r="113" spans="1:34" x14ac:dyDescent="0.25">
      <c r="A113" s="13" t="s">
        <v>167</v>
      </c>
      <c r="B113" s="13" t="s">
        <v>168</v>
      </c>
      <c r="C113" s="64">
        <v>-33020023</v>
      </c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2">
        <f t="shared" si="28"/>
        <v>-33020023</v>
      </c>
      <c r="Q113" s="2">
        <f t="shared" si="29"/>
        <v>-2540001.769230769</v>
      </c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3"/>
    </row>
    <row r="114" spans="1:34" x14ac:dyDescent="0.25">
      <c r="A114" s="13" t="s">
        <v>169</v>
      </c>
      <c r="B114" s="13" t="s">
        <v>170</v>
      </c>
      <c r="C114" s="64">
        <v>-44354199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2">
        <f t="shared" si="28"/>
        <v>-44354199</v>
      </c>
      <c r="Q114" s="2">
        <f t="shared" si="29"/>
        <v>-3411861.4615384615</v>
      </c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3"/>
    </row>
    <row r="115" spans="1:34" x14ac:dyDescent="0.25">
      <c r="A115" s="13" t="s">
        <v>171</v>
      </c>
      <c r="B115" s="13" t="s">
        <v>172</v>
      </c>
      <c r="C115" s="64">
        <v>139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2">
        <f t="shared" si="28"/>
        <v>139</v>
      </c>
      <c r="Q115" s="2">
        <f t="shared" si="29"/>
        <v>10.692307692307692</v>
      </c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3"/>
    </row>
    <row r="116" spans="1:34" x14ac:dyDescent="0.25">
      <c r="A116" s="13" t="s">
        <v>173</v>
      </c>
      <c r="B116" s="13" t="s">
        <v>174</v>
      </c>
      <c r="C116" s="64">
        <v>-808476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2">
        <f t="shared" si="28"/>
        <v>-808476</v>
      </c>
      <c r="Q116" s="2">
        <f t="shared" si="29"/>
        <v>-62190.461538461539</v>
      </c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3"/>
    </row>
    <row r="117" spans="1:34" x14ac:dyDescent="0.25">
      <c r="A117" s="13" t="s">
        <v>175</v>
      </c>
      <c r="B117" s="13" t="s">
        <v>176</v>
      </c>
      <c r="C117" s="64">
        <v>-4598036</v>
      </c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2">
        <f t="shared" si="28"/>
        <v>-4598036</v>
      </c>
      <c r="Q117" s="2">
        <f t="shared" si="29"/>
        <v>-353695.07692307694</v>
      </c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3"/>
    </row>
    <row r="118" spans="1:34" x14ac:dyDescent="0.25">
      <c r="A118" s="13" t="s">
        <v>177</v>
      </c>
      <c r="B118" s="13" t="s">
        <v>178</v>
      </c>
      <c r="C118" s="64">
        <v>-86351305</v>
      </c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2">
        <f t="shared" si="28"/>
        <v>-86351305</v>
      </c>
      <c r="Q118" s="2">
        <f t="shared" si="29"/>
        <v>-6642408.076923077</v>
      </c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3"/>
    </row>
    <row r="119" spans="1:34" x14ac:dyDescent="0.25">
      <c r="A119" s="13" t="s">
        <v>179</v>
      </c>
      <c r="B119" s="13" t="s">
        <v>180</v>
      </c>
      <c r="C119" s="64">
        <v>800877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2">
        <f t="shared" si="28"/>
        <v>800877</v>
      </c>
      <c r="Q119" s="2">
        <f t="shared" si="29"/>
        <v>61605.923076923078</v>
      </c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3"/>
    </row>
    <row r="120" spans="1:34" x14ac:dyDescent="0.25">
      <c r="A120" s="13" t="s">
        <v>181</v>
      </c>
      <c r="B120" s="13" t="s">
        <v>182</v>
      </c>
      <c r="C120" s="64">
        <v>169412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2">
        <f t="shared" si="28"/>
        <v>169412</v>
      </c>
      <c r="Q120" s="2">
        <f t="shared" si="29"/>
        <v>13031.692307692309</v>
      </c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3"/>
    </row>
    <row r="121" spans="1:34" x14ac:dyDescent="0.25">
      <c r="A121" s="13" t="s">
        <v>183</v>
      </c>
      <c r="B121" s="13" t="s">
        <v>184</v>
      </c>
      <c r="C121" s="64">
        <v>10638609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2">
        <f t="shared" si="28"/>
        <v>10638609</v>
      </c>
      <c r="Q121" s="2">
        <f t="shared" si="29"/>
        <v>818354.5384615385</v>
      </c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3"/>
    </row>
    <row r="122" spans="1:34" x14ac:dyDescent="0.25">
      <c r="A122" s="13" t="s">
        <v>185</v>
      </c>
      <c r="B122" s="13" t="s">
        <v>186</v>
      </c>
      <c r="C122" s="64">
        <v>38123553</v>
      </c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2">
        <f t="shared" si="28"/>
        <v>38123553</v>
      </c>
      <c r="Q122" s="2">
        <f t="shared" si="29"/>
        <v>2932581</v>
      </c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3"/>
    </row>
    <row r="123" spans="1:34" x14ac:dyDescent="0.25">
      <c r="A123" s="13" t="s">
        <v>187</v>
      </c>
      <c r="B123" s="13" t="s">
        <v>188</v>
      </c>
      <c r="C123" s="64">
        <v>42173466</v>
      </c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2">
        <f t="shared" si="28"/>
        <v>42173466</v>
      </c>
      <c r="Q123" s="2">
        <f t="shared" si="29"/>
        <v>3244112.769230769</v>
      </c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3"/>
    </row>
    <row r="124" spans="1:34" x14ac:dyDescent="0.25">
      <c r="A124" s="13" t="s">
        <v>189</v>
      </c>
      <c r="B124" s="13" t="s">
        <v>190</v>
      </c>
      <c r="C124" s="64">
        <v>-308270572</v>
      </c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2">
        <f t="shared" si="28"/>
        <v>-308270572</v>
      </c>
      <c r="Q124" s="2">
        <f t="shared" si="29"/>
        <v>-23713120.923076924</v>
      </c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3"/>
    </row>
    <row r="125" spans="1:34" x14ac:dyDescent="0.25">
      <c r="A125" s="13" t="s">
        <v>191</v>
      </c>
      <c r="B125" s="13" t="s">
        <v>192</v>
      </c>
      <c r="C125" s="64">
        <v>8670858</v>
      </c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2">
        <f t="shared" si="28"/>
        <v>8670858</v>
      </c>
      <c r="Q125" s="2">
        <f t="shared" si="29"/>
        <v>666989.07692307688</v>
      </c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3"/>
    </row>
    <row r="126" spans="1:34" x14ac:dyDescent="0.25">
      <c r="A126" s="13" t="s">
        <v>193</v>
      </c>
      <c r="B126" s="13" t="s">
        <v>194</v>
      </c>
      <c r="C126" s="64">
        <v>3704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2">
        <f t="shared" si="28"/>
        <v>3704</v>
      </c>
      <c r="Q126" s="2">
        <f t="shared" si="29"/>
        <v>284.92307692307691</v>
      </c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3"/>
    </row>
    <row r="127" spans="1:34" x14ac:dyDescent="0.25">
      <c r="A127" s="13" t="s">
        <v>195</v>
      </c>
      <c r="B127" s="13" t="s">
        <v>196</v>
      </c>
      <c r="C127" s="64">
        <v>-163</v>
      </c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2">
        <f t="shared" si="28"/>
        <v>-163</v>
      </c>
      <c r="Q127" s="2">
        <f t="shared" si="29"/>
        <v>-12.538461538461538</v>
      </c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3"/>
    </row>
    <row r="128" spans="1:34" x14ac:dyDescent="0.25">
      <c r="A128" s="13" t="s">
        <v>197</v>
      </c>
      <c r="B128" s="13" t="s">
        <v>198</v>
      </c>
      <c r="C128" s="64">
        <v>6500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2">
        <f t="shared" si="28"/>
        <v>6500</v>
      </c>
      <c r="Q128" s="2">
        <f t="shared" si="29"/>
        <v>500</v>
      </c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3"/>
    </row>
    <row r="129" spans="1:34" x14ac:dyDescent="0.25">
      <c r="A129" s="13" t="s">
        <v>199</v>
      </c>
      <c r="B129" s="13" t="s">
        <v>200</v>
      </c>
      <c r="C129" s="64">
        <v>2775908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2">
        <f t="shared" si="28"/>
        <v>2775908</v>
      </c>
      <c r="Q129" s="2">
        <f t="shared" si="29"/>
        <v>213531.38461538462</v>
      </c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3"/>
    </row>
    <row r="130" spans="1:34" x14ac:dyDescent="0.25">
      <c r="A130" s="13" t="s">
        <v>201</v>
      </c>
      <c r="B130" s="13" t="s">
        <v>202</v>
      </c>
      <c r="C130" s="64">
        <v>109634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2">
        <f t="shared" si="28"/>
        <v>109634</v>
      </c>
      <c r="Q130" s="2">
        <f t="shared" si="29"/>
        <v>8433.3846153846152</v>
      </c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3"/>
    </row>
    <row r="131" spans="1:34" x14ac:dyDescent="0.25">
      <c r="A131" s="13" t="s">
        <v>203</v>
      </c>
      <c r="B131" s="13" t="s">
        <v>204</v>
      </c>
      <c r="C131" s="64">
        <v>183748</v>
      </c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2">
        <f t="shared" si="28"/>
        <v>183748</v>
      </c>
      <c r="Q131" s="2">
        <f t="shared" si="29"/>
        <v>14134.461538461539</v>
      </c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3"/>
    </row>
    <row r="132" spans="1:34" x14ac:dyDescent="0.25">
      <c r="C132" s="26" t="s">
        <v>67</v>
      </c>
      <c r="D132" s="26" t="s">
        <v>67</v>
      </c>
      <c r="E132" s="26" t="s">
        <v>67</v>
      </c>
      <c r="F132" s="26" t="s">
        <v>67</v>
      </c>
      <c r="G132" s="26" t="s">
        <v>67</v>
      </c>
      <c r="H132" s="26" t="s">
        <v>67</v>
      </c>
      <c r="I132" s="26" t="s">
        <v>67</v>
      </c>
      <c r="J132" s="26" t="s">
        <v>67</v>
      </c>
      <c r="K132" s="26" t="s">
        <v>67</v>
      </c>
      <c r="L132" s="26" t="s">
        <v>67</v>
      </c>
      <c r="M132" s="26" t="s">
        <v>67</v>
      </c>
      <c r="N132" s="26" t="s">
        <v>67</v>
      </c>
      <c r="O132" s="26" t="s">
        <v>67</v>
      </c>
      <c r="P132" s="26" t="s">
        <v>67</v>
      </c>
      <c r="Q132" s="26" t="s">
        <v>67</v>
      </c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3"/>
    </row>
    <row r="133" spans="1:34" x14ac:dyDescent="0.25">
      <c r="A133" s="21" t="s">
        <v>205</v>
      </c>
      <c r="B133" s="22"/>
      <c r="C133" s="23">
        <f>SUM(C95:C131)</f>
        <v>-62625055</v>
      </c>
      <c r="D133" s="23">
        <f t="shared" ref="D133:Q133" si="35">SUM(D95:D131)</f>
        <v>-59327624.956415825</v>
      </c>
      <c r="E133" s="23">
        <f t="shared" si="35"/>
        <v>-60056287.903866902</v>
      </c>
      <c r="F133" s="23">
        <f t="shared" si="35"/>
        <v>-60012234.862233639</v>
      </c>
      <c r="G133" s="23">
        <f t="shared" si="35"/>
        <v>-59973190.736361474</v>
      </c>
      <c r="H133" s="23">
        <f t="shared" si="35"/>
        <v>-59935127.101332709</v>
      </c>
      <c r="I133" s="23">
        <f t="shared" si="35"/>
        <v>-59880720.66992911</v>
      </c>
      <c r="J133" s="23">
        <f t="shared" si="35"/>
        <v>-59842052.865331955</v>
      </c>
      <c r="K133" s="23">
        <f t="shared" si="35"/>
        <v>-59805395.783971675</v>
      </c>
      <c r="L133" s="23">
        <f t="shared" si="35"/>
        <v>-59750807.904290825</v>
      </c>
      <c r="M133" s="23">
        <f t="shared" si="35"/>
        <v>-59712107.129693672</v>
      </c>
      <c r="N133" s="23">
        <f t="shared" si="35"/>
        <v>-58129231.171714917</v>
      </c>
      <c r="O133" s="23">
        <f t="shared" si="35"/>
        <v>-58074866.318575032</v>
      </c>
      <c r="P133" s="23">
        <f t="shared" si="35"/>
        <v>-777124702.40371764</v>
      </c>
      <c r="Q133" s="23">
        <f t="shared" si="35"/>
        <v>-59778823.261824459</v>
      </c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3"/>
    </row>
    <row r="134" spans="1:34" x14ac:dyDescent="0.25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3"/>
    </row>
    <row r="135" spans="1:34" x14ac:dyDescent="0.25">
      <c r="A135" s="21" t="s">
        <v>206</v>
      </c>
      <c r="B135" s="22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3"/>
    </row>
    <row r="136" spans="1:34" x14ac:dyDescent="0.25">
      <c r="A136" s="13" t="s">
        <v>207</v>
      </c>
      <c r="B136" s="13" t="s">
        <v>208</v>
      </c>
      <c r="C136" s="64">
        <v>6158</v>
      </c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2">
        <f t="shared" ref="P136:P137" si="36">SUM(C136:O136)</f>
        <v>6158</v>
      </c>
      <c r="Q136" s="2">
        <f t="shared" ref="Q136:Q137" si="37">P136/13</f>
        <v>473.69230769230768</v>
      </c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3"/>
    </row>
    <row r="137" spans="1:34" x14ac:dyDescent="0.25">
      <c r="A137" s="13" t="s">
        <v>209</v>
      </c>
      <c r="B137" s="13" t="s">
        <v>210</v>
      </c>
      <c r="C137" s="64">
        <v>33125</v>
      </c>
      <c r="D137" s="151">
        <v>86473.66</v>
      </c>
      <c r="E137" s="151">
        <v>86473.66</v>
      </c>
      <c r="F137" s="151">
        <v>86473.66</v>
      </c>
      <c r="G137" s="151">
        <v>86473.66</v>
      </c>
      <c r="H137" s="151">
        <v>86473.66</v>
      </c>
      <c r="I137" s="151">
        <v>86473.66</v>
      </c>
      <c r="J137" s="151">
        <v>86473.66</v>
      </c>
      <c r="K137" s="151">
        <v>86473.66</v>
      </c>
      <c r="L137" s="151">
        <v>86473.66</v>
      </c>
      <c r="M137" s="151">
        <v>86473.66</v>
      </c>
      <c r="N137" s="151">
        <v>86473.66</v>
      </c>
      <c r="O137" s="151">
        <v>86473.66</v>
      </c>
      <c r="P137" s="2">
        <f t="shared" si="36"/>
        <v>1070808.9200000002</v>
      </c>
      <c r="Q137" s="2">
        <f t="shared" si="37"/>
        <v>82369.916923076933</v>
      </c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3"/>
    </row>
    <row r="138" spans="1:34" x14ac:dyDescent="0.25">
      <c r="C138" s="26" t="s">
        <v>67</v>
      </c>
      <c r="D138" s="26" t="s">
        <v>67</v>
      </c>
      <c r="E138" s="26" t="s">
        <v>67</v>
      </c>
      <c r="F138" s="26" t="s">
        <v>67</v>
      </c>
      <c r="G138" s="26" t="s">
        <v>67</v>
      </c>
      <c r="H138" s="26" t="s">
        <v>67</v>
      </c>
      <c r="I138" s="26" t="s">
        <v>67</v>
      </c>
      <c r="J138" s="26" t="s">
        <v>67</v>
      </c>
      <c r="K138" s="26" t="s">
        <v>67</v>
      </c>
      <c r="L138" s="26" t="s">
        <v>67</v>
      </c>
      <c r="M138" s="26" t="s">
        <v>67</v>
      </c>
      <c r="N138" s="26" t="s">
        <v>67</v>
      </c>
      <c r="O138" s="26" t="s">
        <v>67</v>
      </c>
      <c r="P138" s="26" t="s">
        <v>67</v>
      </c>
      <c r="Q138" s="26" t="s">
        <v>67</v>
      </c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3"/>
    </row>
    <row r="139" spans="1:34" x14ac:dyDescent="0.25">
      <c r="A139" s="21" t="s">
        <v>211</v>
      </c>
      <c r="B139" s="22"/>
      <c r="C139" s="23">
        <f>SUM(C136:C137)</f>
        <v>39283</v>
      </c>
      <c r="D139" s="23">
        <f t="shared" ref="D139:Q139" si="38">SUM(D136:D137)</f>
        <v>86473.66</v>
      </c>
      <c r="E139" s="23">
        <f t="shared" si="38"/>
        <v>86473.66</v>
      </c>
      <c r="F139" s="23">
        <f t="shared" si="38"/>
        <v>86473.66</v>
      </c>
      <c r="G139" s="23">
        <f t="shared" si="38"/>
        <v>86473.66</v>
      </c>
      <c r="H139" s="23">
        <f t="shared" si="38"/>
        <v>86473.66</v>
      </c>
      <c r="I139" s="23">
        <f t="shared" si="38"/>
        <v>86473.66</v>
      </c>
      <c r="J139" s="23">
        <f t="shared" si="38"/>
        <v>86473.66</v>
      </c>
      <c r="K139" s="23">
        <f t="shared" si="38"/>
        <v>86473.66</v>
      </c>
      <c r="L139" s="23">
        <f t="shared" si="38"/>
        <v>86473.66</v>
      </c>
      <c r="M139" s="23">
        <f t="shared" si="38"/>
        <v>86473.66</v>
      </c>
      <c r="N139" s="23">
        <f t="shared" si="38"/>
        <v>86473.66</v>
      </c>
      <c r="O139" s="23">
        <f t="shared" si="38"/>
        <v>86473.66</v>
      </c>
      <c r="P139" s="23">
        <f t="shared" si="38"/>
        <v>1076966.9200000002</v>
      </c>
      <c r="Q139" s="23">
        <f t="shared" si="38"/>
        <v>82843.609230769245</v>
      </c>
      <c r="R139" s="15">
        <f>SUM(T139:Y139)-Q139</f>
        <v>0</v>
      </c>
      <c r="S139" s="15" t="s">
        <v>16</v>
      </c>
      <c r="T139" s="15">
        <f t="shared" ref="T139:Y139" si="39">$Q139*T5</f>
        <v>17645.688766153849</v>
      </c>
      <c r="U139" s="15">
        <f t="shared" si="39"/>
        <v>28829.576012307694</v>
      </c>
      <c r="V139" s="15">
        <f t="shared" si="39"/>
        <v>11929.47972923077</v>
      </c>
      <c r="W139" s="15">
        <f t="shared" si="39"/>
        <v>82.843609230769246</v>
      </c>
      <c r="X139" s="15">
        <f t="shared" si="39"/>
        <v>82.843609230769246</v>
      </c>
      <c r="Y139" s="15">
        <f t="shared" si="39"/>
        <v>24273.177504615389</v>
      </c>
      <c r="Z139" s="15"/>
      <c r="AA139" s="15" t="s">
        <v>16</v>
      </c>
      <c r="AB139" s="15">
        <f t="shared" ref="AB139:AG139" si="40">$O139*AB$5</f>
        <v>18418.889579999999</v>
      </c>
      <c r="AC139" s="15">
        <f t="shared" si="40"/>
        <v>30092.83368</v>
      </c>
      <c r="AD139" s="15">
        <f t="shared" si="40"/>
        <v>12452.207039999999</v>
      </c>
      <c r="AE139" s="15">
        <f t="shared" si="40"/>
        <v>86.47366000000001</v>
      </c>
      <c r="AF139" s="15">
        <f t="shared" si="40"/>
        <v>86.47366000000001</v>
      </c>
      <c r="AG139" s="15">
        <f t="shared" si="40"/>
        <v>25336.782380000001</v>
      </c>
      <c r="AH139" s="27">
        <f>SUM(AB139:AG139)-O139</f>
        <v>0</v>
      </c>
    </row>
    <row r="140" spans="1:34" x14ac:dyDescent="0.25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3"/>
    </row>
    <row r="141" spans="1:34" x14ac:dyDescent="0.25">
      <c r="A141" s="21" t="s">
        <v>212</v>
      </c>
      <c r="B141" s="22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3"/>
    </row>
    <row r="142" spans="1:34" x14ac:dyDescent="0.25">
      <c r="A142" s="13" t="s">
        <v>213</v>
      </c>
      <c r="B142" s="13" t="s">
        <v>214</v>
      </c>
      <c r="C142" s="64">
        <v>127184</v>
      </c>
      <c r="D142" s="64">
        <v>127184</v>
      </c>
      <c r="E142" s="64">
        <v>127184</v>
      </c>
      <c r="F142" s="64">
        <v>127184</v>
      </c>
      <c r="G142" s="64">
        <v>127184</v>
      </c>
      <c r="H142" s="64">
        <v>127184</v>
      </c>
      <c r="I142" s="64">
        <v>127184</v>
      </c>
      <c r="J142" s="64">
        <v>127184</v>
      </c>
      <c r="K142" s="64">
        <v>127184</v>
      </c>
      <c r="L142" s="64">
        <v>127184</v>
      </c>
      <c r="M142" s="64">
        <v>127184</v>
      </c>
      <c r="N142" s="64">
        <v>127184</v>
      </c>
      <c r="O142" s="64">
        <v>127184</v>
      </c>
      <c r="P142" s="2">
        <f>SUM(C142:O142)</f>
        <v>1653392</v>
      </c>
      <c r="Q142" s="2">
        <f>P142/13</f>
        <v>127184</v>
      </c>
      <c r="R142" s="15">
        <f>SUM(T142:Y142)-Q142</f>
        <v>0</v>
      </c>
      <c r="S142" s="15" t="s">
        <v>16</v>
      </c>
      <c r="T142" s="15">
        <f t="shared" ref="T142:Y142" si="41">$Q142*T5</f>
        <v>27090.191999999999</v>
      </c>
      <c r="U142" s="15">
        <f t="shared" si="41"/>
        <v>44260.031999999999</v>
      </c>
      <c r="V142" s="15">
        <f t="shared" si="41"/>
        <v>18314.495999999999</v>
      </c>
      <c r="W142" s="15">
        <f t="shared" si="41"/>
        <v>127.184</v>
      </c>
      <c r="X142" s="15">
        <f t="shared" si="41"/>
        <v>127.184</v>
      </c>
      <c r="Y142" s="15">
        <f t="shared" si="41"/>
        <v>37264.911999999997</v>
      </c>
      <c r="Z142" s="15"/>
      <c r="AA142" s="15" t="s">
        <v>16</v>
      </c>
      <c r="AB142" s="15">
        <f t="shared" ref="AB142:AG142" si="42">$O142*AB$5</f>
        <v>27090.191999999999</v>
      </c>
      <c r="AC142" s="15">
        <f t="shared" si="42"/>
        <v>44260.031999999999</v>
      </c>
      <c r="AD142" s="15">
        <f t="shared" si="42"/>
        <v>18314.495999999999</v>
      </c>
      <c r="AE142" s="15">
        <f t="shared" si="42"/>
        <v>127.184</v>
      </c>
      <c r="AF142" s="15">
        <f t="shared" si="42"/>
        <v>127.184</v>
      </c>
      <c r="AG142" s="15">
        <f t="shared" si="42"/>
        <v>37264.911999999997</v>
      </c>
      <c r="AH142" s="27">
        <f>SUM(AB142:AG142)-O142</f>
        <v>0</v>
      </c>
    </row>
    <row r="143" spans="1:34" x14ac:dyDescent="0.25">
      <c r="C143" s="26" t="s">
        <v>67</v>
      </c>
      <c r="D143" s="26" t="s">
        <v>67</v>
      </c>
      <c r="E143" s="26" t="s">
        <v>67</v>
      </c>
      <c r="F143" s="26" t="s">
        <v>67</v>
      </c>
      <c r="G143" s="26" t="s">
        <v>67</v>
      </c>
      <c r="H143" s="26" t="s">
        <v>67</v>
      </c>
      <c r="I143" s="26" t="s">
        <v>67</v>
      </c>
      <c r="J143" s="26" t="s">
        <v>67</v>
      </c>
      <c r="K143" s="26" t="s">
        <v>67</v>
      </c>
      <c r="L143" s="26" t="s">
        <v>67</v>
      </c>
      <c r="M143" s="26" t="s">
        <v>67</v>
      </c>
      <c r="N143" s="26" t="s">
        <v>67</v>
      </c>
      <c r="O143" s="26" t="s">
        <v>67</v>
      </c>
      <c r="P143" s="26" t="s">
        <v>67</v>
      </c>
      <c r="Q143" s="26" t="s">
        <v>67</v>
      </c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3"/>
    </row>
    <row r="144" spans="1:34" x14ac:dyDescent="0.25">
      <c r="A144" s="21" t="s">
        <v>215</v>
      </c>
      <c r="B144" s="22"/>
      <c r="C144" s="23">
        <f>C142</f>
        <v>127184</v>
      </c>
      <c r="D144" s="23">
        <f t="shared" ref="D144:Q144" si="43">D142</f>
        <v>127184</v>
      </c>
      <c r="E144" s="23">
        <f t="shared" si="43"/>
        <v>127184</v>
      </c>
      <c r="F144" s="23">
        <f t="shared" si="43"/>
        <v>127184</v>
      </c>
      <c r="G144" s="23">
        <f t="shared" si="43"/>
        <v>127184</v>
      </c>
      <c r="H144" s="23">
        <f t="shared" si="43"/>
        <v>127184</v>
      </c>
      <c r="I144" s="23">
        <f t="shared" si="43"/>
        <v>127184</v>
      </c>
      <c r="J144" s="23">
        <f t="shared" si="43"/>
        <v>127184</v>
      </c>
      <c r="K144" s="23">
        <f t="shared" si="43"/>
        <v>127184</v>
      </c>
      <c r="L144" s="23">
        <f t="shared" si="43"/>
        <v>127184</v>
      </c>
      <c r="M144" s="23">
        <f t="shared" si="43"/>
        <v>127184</v>
      </c>
      <c r="N144" s="23">
        <f t="shared" si="43"/>
        <v>127184</v>
      </c>
      <c r="O144" s="23">
        <f t="shared" si="43"/>
        <v>127184</v>
      </c>
      <c r="P144" s="23">
        <f t="shared" si="43"/>
        <v>1653392</v>
      </c>
      <c r="Q144" s="23">
        <f t="shared" si="43"/>
        <v>127184</v>
      </c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3"/>
    </row>
    <row r="145" spans="1:34" x14ac:dyDescent="0.25">
      <c r="A145" s="40"/>
      <c r="B145" s="40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3"/>
    </row>
    <row r="146" spans="1:34" ht="15.75" x14ac:dyDescent="0.3">
      <c r="A146" s="42" t="s">
        <v>216</v>
      </c>
      <c r="B146" s="43"/>
      <c r="C146" s="44">
        <f>C144+C139+C133+C92+C86+C79</f>
        <v>-61835483</v>
      </c>
      <c r="D146" s="44">
        <f t="shared" ref="D146:Q146" si="44">D144+D139+D133+D92+D86+D79</f>
        <v>-59101473.506415829</v>
      </c>
      <c r="E146" s="44">
        <f t="shared" si="44"/>
        <v>-59843301.243866906</v>
      </c>
      <c r="F146" s="44">
        <f t="shared" si="44"/>
        <v>-59799248.202233642</v>
      </c>
      <c r="G146" s="44">
        <f t="shared" si="44"/>
        <v>-59760204.076361477</v>
      </c>
      <c r="H146" s="44">
        <f t="shared" si="44"/>
        <v>-59722140.441332713</v>
      </c>
      <c r="I146" s="44">
        <f t="shared" si="44"/>
        <v>-59667734.009929113</v>
      </c>
      <c r="J146" s="44">
        <f t="shared" si="44"/>
        <v>-59629066.205331959</v>
      </c>
      <c r="K146" s="44">
        <f t="shared" si="44"/>
        <v>-59592409.123971678</v>
      </c>
      <c r="L146" s="44">
        <f t="shared" si="44"/>
        <v>-59537821.244290829</v>
      </c>
      <c r="M146" s="44">
        <f t="shared" si="44"/>
        <v>-59499120.469693676</v>
      </c>
      <c r="N146" s="44">
        <f t="shared" si="44"/>
        <v>-57916244.51171492</v>
      </c>
      <c r="O146" s="44">
        <f t="shared" si="44"/>
        <v>-57861879.658575036</v>
      </c>
      <c r="P146" s="44">
        <f t="shared" si="44"/>
        <v>-773766125.69371772</v>
      </c>
      <c r="Q146" s="44">
        <f t="shared" si="44"/>
        <v>-59520471.207209073</v>
      </c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3"/>
    </row>
    <row r="147" spans="1:34" x14ac:dyDescent="0.25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3"/>
    </row>
    <row r="148" spans="1:34" ht="15.75" x14ac:dyDescent="0.3">
      <c r="A148" s="18" t="s">
        <v>217</v>
      </c>
      <c r="B148" s="19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3"/>
    </row>
    <row r="149" spans="1:34" x14ac:dyDescent="0.25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3"/>
    </row>
    <row r="150" spans="1:34" x14ac:dyDescent="0.25">
      <c r="A150" s="45" t="s">
        <v>218</v>
      </c>
      <c r="B150" s="46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3"/>
    </row>
    <row r="151" spans="1:34" x14ac:dyDescent="0.25">
      <c r="A151" s="48" t="s">
        <v>219</v>
      </c>
      <c r="B151" s="48" t="s">
        <v>220</v>
      </c>
      <c r="C151" s="64">
        <v>721355</v>
      </c>
      <c r="D151" s="64">
        <f>C151-6142</f>
        <v>715213</v>
      </c>
      <c r="E151" s="64">
        <f t="shared" ref="E151:O151" si="45">D151-6142</f>
        <v>709071</v>
      </c>
      <c r="F151" s="64">
        <f t="shared" si="45"/>
        <v>702929</v>
      </c>
      <c r="G151" s="64">
        <f t="shared" si="45"/>
        <v>696787</v>
      </c>
      <c r="H151" s="64">
        <f t="shared" si="45"/>
        <v>690645</v>
      </c>
      <c r="I151" s="64">
        <f t="shared" si="45"/>
        <v>684503</v>
      </c>
      <c r="J151" s="64">
        <f t="shared" si="45"/>
        <v>678361</v>
      </c>
      <c r="K151" s="64">
        <f t="shared" si="45"/>
        <v>672219</v>
      </c>
      <c r="L151" s="64">
        <f t="shared" si="45"/>
        <v>666077</v>
      </c>
      <c r="M151" s="64">
        <f t="shared" si="45"/>
        <v>659935</v>
      </c>
      <c r="N151" s="64">
        <f t="shared" si="45"/>
        <v>653793</v>
      </c>
      <c r="O151" s="64">
        <f t="shared" si="45"/>
        <v>647651</v>
      </c>
      <c r="P151" s="2">
        <f>SUM(C151:O151)</f>
        <v>8898539</v>
      </c>
      <c r="Q151" s="2">
        <f>P151/13</f>
        <v>684503</v>
      </c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3"/>
    </row>
    <row r="152" spans="1:34" x14ac:dyDescent="0.25">
      <c r="C152" s="26" t="s">
        <v>67</v>
      </c>
      <c r="D152" s="26" t="s">
        <v>67</v>
      </c>
      <c r="E152" s="26" t="s">
        <v>67</v>
      </c>
      <c r="F152" s="26" t="s">
        <v>67</v>
      </c>
      <c r="G152" s="26" t="s">
        <v>67</v>
      </c>
      <c r="H152" s="26" t="s">
        <v>67</v>
      </c>
      <c r="I152" s="26" t="s">
        <v>67</v>
      </c>
      <c r="J152" s="26" t="s">
        <v>67</v>
      </c>
      <c r="K152" s="26" t="s">
        <v>67</v>
      </c>
      <c r="L152" s="26" t="s">
        <v>67</v>
      </c>
      <c r="M152" s="26" t="s">
        <v>67</v>
      </c>
      <c r="N152" s="26" t="s">
        <v>67</v>
      </c>
      <c r="O152" s="26" t="s">
        <v>67</v>
      </c>
      <c r="P152" s="26" t="s">
        <v>67</v>
      </c>
      <c r="Q152" s="26" t="s">
        <v>67</v>
      </c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3"/>
    </row>
    <row r="153" spans="1:34" x14ac:dyDescent="0.25">
      <c r="A153" s="21" t="s">
        <v>221</v>
      </c>
      <c r="B153" s="22"/>
      <c r="C153" s="23">
        <f>C151</f>
        <v>721355</v>
      </c>
      <c r="D153" s="23">
        <f t="shared" ref="D153:Q153" si="46">D151</f>
        <v>715213</v>
      </c>
      <c r="E153" s="23">
        <f t="shared" si="46"/>
        <v>709071</v>
      </c>
      <c r="F153" s="23">
        <f t="shared" si="46"/>
        <v>702929</v>
      </c>
      <c r="G153" s="23">
        <f t="shared" si="46"/>
        <v>696787</v>
      </c>
      <c r="H153" s="23">
        <f t="shared" si="46"/>
        <v>690645</v>
      </c>
      <c r="I153" s="23">
        <f t="shared" si="46"/>
        <v>684503</v>
      </c>
      <c r="J153" s="23">
        <f t="shared" si="46"/>
        <v>678361</v>
      </c>
      <c r="K153" s="23">
        <f t="shared" si="46"/>
        <v>672219</v>
      </c>
      <c r="L153" s="23">
        <f t="shared" si="46"/>
        <v>666077</v>
      </c>
      <c r="M153" s="23">
        <f t="shared" si="46"/>
        <v>659935</v>
      </c>
      <c r="N153" s="23">
        <f t="shared" si="46"/>
        <v>653793</v>
      </c>
      <c r="O153" s="23">
        <f t="shared" si="46"/>
        <v>647651</v>
      </c>
      <c r="P153" s="23">
        <f t="shared" si="46"/>
        <v>8898539</v>
      </c>
      <c r="Q153" s="23">
        <f t="shared" si="46"/>
        <v>684503</v>
      </c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3"/>
    </row>
    <row r="154" spans="1:34" x14ac:dyDescent="0.25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3"/>
    </row>
    <row r="155" spans="1:34" x14ac:dyDescent="0.25">
      <c r="A155" s="21" t="s">
        <v>222</v>
      </c>
      <c r="B155" s="22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3"/>
    </row>
    <row r="156" spans="1:34" ht="15.75" x14ac:dyDescent="0.25">
      <c r="A156" s="13" t="s">
        <v>223</v>
      </c>
      <c r="B156" s="13" t="s">
        <v>224</v>
      </c>
      <c r="C156" s="64">
        <v>705514</v>
      </c>
      <c r="D156" s="159">
        <v>175756.86000000002</v>
      </c>
      <c r="E156" s="159">
        <v>172277.38</v>
      </c>
      <c r="F156" s="159">
        <v>168787.11000000002</v>
      </c>
      <c r="G156" s="159">
        <v>165286.03</v>
      </c>
      <c r="H156" s="159">
        <v>161774.08000000002</v>
      </c>
      <c r="I156" s="159">
        <v>158251.26</v>
      </c>
      <c r="J156" s="159">
        <v>154717.51</v>
      </c>
      <c r="K156" s="159">
        <v>151172.81</v>
      </c>
      <c r="L156" s="159">
        <v>147617.12</v>
      </c>
      <c r="M156" s="159">
        <v>144050.4</v>
      </c>
      <c r="N156" s="159">
        <v>140472.63</v>
      </c>
      <c r="O156" s="159">
        <v>136883.76999999999</v>
      </c>
      <c r="P156" s="2">
        <f t="shared" ref="P156:P157" si="47">SUM(C156:O156)</f>
        <v>2582560.96</v>
      </c>
      <c r="Q156" s="2">
        <f t="shared" ref="Q156:Q157" si="48">P156/13</f>
        <v>198658.53538461539</v>
      </c>
      <c r="R156" s="15"/>
      <c r="S156" s="15" t="s">
        <v>225</v>
      </c>
      <c r="T156" s="15">
        <f>$Q156*T$3</f>
        <v>32212.481512615384</v>
      </c>
      <c r="U156" s="15">
        <f t="shared" ref="U156:Y156" si="49">$Q156*U$3</f>
        <v>77816.534895507692</v>
      </c>
      <c r="V156" s="15">
        <f t="shared" si="49"/>
        <v>36529.331486523079</v>
      </c>
      <c r="W156" s="15">
        <f t="shared" si="49"/>
        <v>705.23780061538469</v>
      </c>
      <c r="X156" s="15">
        <f t="shared" si="49"/>
        <v>220.51097427692309</v>
      </c>
      <c r="Y156" s="15">
        <f t="shared" si="49"/>
        <v>51178.411885784619</v>
      </c>
      <c r="Z156" s="15"/>
      <c r="AA156" s="15"/>
      <c r="AB156" s="15">
        <f>$O156*AB$3</f>
        <v>22195.703305499996</v>
      </c>
      <c r="AC156" s="15">
        <f t="shared" ref="AC156:AG156" si="50">$O156*AC$3</f>
        <v>53618.741546699996</v>
      </c>
      <c r="AD156" s="15">
        <f t="shared" si="50"/>
        <v>25170.187627599997</v>
      </c>
      <c r="AE156" s="15">
        <f t="shared" si="50"/>
        <v>485.93738350000001</v>
      </c>
      <c r="AF156" s="15">
        <f t="shared" si="50"/>
        <v>151.9409847</v>
      </c>
      <c r="AG156" s="15">
        <f t="shared" si="50"/>
        <v>35263.996827399998</v>
      </c>
      <c r="AH156" s="3"/>
    </row>
    <row r="157" spans="1:34" x14ac:dyDescent="0.25">
      <c r="A157" s="13" t="s">
        <v>226</v>
      </c>
      <c r="B157" s="13" t="s">
        <v>227</v>
      </c>
      <c r="C157" s="64">
        <v>-135844</v>
      </c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2">
        <f t="shared" si="47"/>
        <v>-135844</v>
      </c>
      <c r="Q157" s="2">
        <f t="shared" si="48"/>
        <v>-10449.538461538461</v>
      </c>
      <c r="R157" s="15"/>
      <c r="S157" s="15" t="s">
        <v>225</v>
      </c>
      <c r="T157" s="15">
        <f t="shared" ref="T157:Y157" si="51">$Q157*T$3</f>
        <v>-1694.3926615384614</v>
      </c>
      <c r="U157" s="15">
        <f t="shared" si="51"/>
        <v>-4093.1887107692305</v>
      </c>
      <c r="V157" s="15">
        <f t="shared" si="51"/>
        <v>-1921.461132307692</v>
      </c>
      <c r="W157" s="15">
        <f t="shared" si="51"/>
        <v>-37.095861538461541</v>
      </c>
      <c r="X157" s="15">
        <f t="shared" si="51"/>
        <v>-11.598987692307693</v>
      </c>
      <c r="Y157" s="15">
        <f t="shared" si="51"/>
        <v>-2692.0100984615383</v>
      </c>
      <c r="Z157" s="15"/>
      <c r="AA157" s="15"/>
      <c r="AB157" s="15">
        <f t="shared" ref="AB157:AG157" si="52">$O157*AB$3</f>
        <v>0</v>
      </c>
      <c r="AC157" s="15">
        <f t="shared" si="52"/>
        <v>0</v>
      </c>
      <c r="AD157" s="15">
        <f t="shared" si="52"/>
        <v>0</v>
      </c>
      <c r="AE157" s="15">
        <f t="shared" si="52"/>
        <v>0</v>
      </c>
      <c r="AF157" s="15">
        <f t="shared" si="52"/>
        <v>0</v>
      </c>
      <c r="AG157" s="15">
        <f t="shared" si="52"/>
        <v>0</v>
      </c>
      <c r="AH157" s="3"/>
    </row>
    <row r="158" spans="1:34" x14ac:dyDescent="0.25">
      <c r="C158" s="26" t="s">
        <v>67</v>
      </c>
      <c r="D158" s="26" t="s">
        <v>67</v>
      </c>
      <c r="E158" s="26" t="s">
        <v>67</v>
      </c>
      <c r="F158" s="26" t="s">
        <v>67</v>
      </c>
      <c r="G158" s="26" t="s">
        <v>67</v>
      </c>
      <c r="H158" s="26" t="s">
        <v>67</v>
      </c>
      <c r="I158" s="26" t="s">
        <v>67</v>
      </c>
      <c r="J158" s="26" t="s">
        <v>67</v>
      </c>
      <c r="K158" s="26" t="s">
        <v>67</v>
      </c>
      <c r="L158" s="26" t="s">
        <v>67</v>
      </c>
      <c r="M158" s="26" t="s">
        <v>67</v>
      </c>
      <c r="N158" s="26" t="s">
        <v>67</v>
      </c>
      <c r="O158" s="26" t="s">
        <v>67</v>
      </c>
      <c r="P158" s="26" t="s">
        <v>67</v>
      </c>
      <c r="Q158" s="26" t="s">
        <v>67</v>
      </c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3"/>
    </row>
    <row r="159" spans="1:34" x14ac:dyDescent="0.25">
      <c r="A159" s="21" t="s">
        <v>228</v>
      </c>
      <c r="B159" s="22"/>
      <c r="C159" s="23">
        <f>SUM(C156:C157)</f>
        <v>569670</v>
      </c>
      <c r="D159" s="23">
        <f t="shared" ref="D159:Q159" si="53">SUM(D156:D157)</f>
        <v>175756.86000000002</v>
      </c>
      <c r="E159" s="23">
        <f t="shared" si="53"/>
        <v>172277.38</v>
      </c>
      <c r="F159" s="23">
        <f t="shared" si="53"/>
        <v>168787.11000000002</v>
      </c>
      <c r="G159" s="23">
        <f t="shared" si="53"/>
        <v>165286.03</v>
      </c>
      <c r="H159" s="23">
        <f t="shared" si="53"/>
        <v>161774.08000000002</v>
      </c>
      <c r="I159" s="23">
        <f t="shared" si="53"/>
        <v>158251.26</v>
      </c>
      <c r="J159" s="23">
        <f t="shared" si="53"/>
        <v>154717.51</v>
      </c>
      <c r="K159" s="23">
        <f t="shared" si="53"/>
        <v>151172.81</v>
      </c>
      <c r="L159" s="23">
        <f t="shared" si="53"/>
        <v>147617.12</v>
      </c>
      <c r="M159" s="23">
        <f t="shared" si="53"/>
        <v>144050.4</v>
      </c>
      <c r="N159" s="23">
        <f t="shared" si="53"/>
        <v>140472.63</v>
      </c>
      <c r="O159" s="23">
        <f t="shared" si="53"/>
        <v>136883.76999999999</v>
      </c>
      <c r="P159" s="23">
        <f t="shared" si="53"/>
        <v>2446716.96</v>
      </c>
      <c r="Q159" s="23">
        <f t="shared" si="53"/>
        <v>188208.99692307692</v>
      </c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3"/>
    </row>
    <row r="160" spans="1:34" x14ac:dyDescent="0.25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3"/>
    </row>
    <row r="161" spans="1:34" ht="15.75" x14ac:dyDescent="0.3">
      <c r="A161" s="18" t="s">
        <v>229</v>
      </c>
      <c r="B161" s="19"/>
      <c r="C161" s="20">
        <f>C159+C153</f>
        <v>1291025</v>
      </c>
      <c r="D161" s="20">
        <f t="shared" ref="D161:Q161" si="54">D159+D153</f>
        <v>890969.86</v>
      </c>
      <c r="E161" s="20">
        <f t="shared" si="54"/>
        <v>881348.38</v>
      </c>
      <c r="F161" s="20">
        <f t="shared" si="54"/>
        <v>871716.11</v>
      </c>
      <c r="G161" s="20">
        <f t="shared" si="54"/>
        <v>862073.03</v>
      </c>
      <c r="H161" s="20">
        <f t="shared" si="54"/>
        <v>852419.08000000007</v>
      </c>
      <c r="I161" s="20">
        <f t="shared" si="54"/>
        <v>842754.26</v>
      </c>
      <c r="J161" s="20">
        <f t="shared" si="54"/>
        <v>833078.51</v>
      </c>
      <c r="K161" s="20">
        <f t="shared" si="54"/>
        <v>823391.81</v>
      </c>
      <c r="L161" s="20">
        <f t="shared" si="54"/>
        <v>813694.12</v>
      </c>
      <c r="M161" s="20">
        <f t="shared" si="54"/>
        <v>803985.4</v>
      </c>
      <c r="N161" s="20">
        <f t="shared" si="54"/>
        <v>794265.63</v>
      </c>
      <c r="O161" s="20">
        <f t="shared" si="54"/>
        <v>784534.77</v>
      </c>
      <c r="P161" s="20">
        <f t="shared" si="54"/>
        <v>11345255.960000001</v>
      </c>
      <c r="Q161" s="20">
        <f t="shared" si="54"/>
        <v>872711.99692307692</v>
      </c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3"/>
    </row>
    <row r="162" spans="1:34" x14ac:dyDescent="0.25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3"/>
    </row>
    <row r="163" spans="1:34" ht="19.5" x14ac:dyDescent="0.4">
      <c r="A163" s="5" t="s">
        <v>230</v>
      </c>
      <c r="B163" s="16"/>
      <c r="C163" s="17">
        <f>C161+C146+C68+C55</f>
        <v>60051791.789999999</v>
      </c>
      <c r="D163" s="17">
        <f t="shared" ref="D163:Q163" si="55">D161+D146+D68+D55</f>
        <v>62338171.520000003</v>
      </c>
      <c r="E163" s="17">
        <f t="shared" si="55"/>
        <v>61539147.678964764</v>
      </c>
      <c r="F163" s="17">
        <f t="shared" si="55"/>
        <v>61525993.827013865</v>
      </c>
      <c r="G163" s="17">
        <f t="shared" si="55"/>
        <v>61507820.249301866</v>
      </c>
      <c r="H163" s="17">
        <f t="shared" si="55"/>
        <v>61488655.310746461</v>
      </c>
      <c r="I163" s="17">
        <f t="shared" si="55"/>
        <v>61485822.298565894</v>
      </c>
      <c r="J163" s="17">
        <f t="shared" si="55"/>
        <v>61467239.72957889</v>
      </c>
      <c r="K163" s="17">
        <f t="shared" si="55"/>
        <v>61446635.487355009</v>
      </c>
      <c r="L163" s="17">
        <f t="shared" si="55"/>
        <v>61443951.053451687</v>
      </c>
      <c r="M163" s="17">
        <f t="shared" si="55"/>
        <v>61425368.484464683</v>
      </c>
      <c r="N163" s="17">
        <f t="shared" si="55"/>
        <v>62950950.048859276</v>
      </c>
      <c r="O163" s="17">
        <f t="shared" si="55"/>
        <v>62948009.418414995</v>
      </c>
      <c r="P163" s="17">
        <f t="shared" si="55"/>
        <v>801619556.89671755</v>
      </c>
      <c r="Q163" s="17">
        <f t="shared" si="55"/>
        <v>61663042.838209018</v>
      </c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3"/>
    </row>
    <row r="164" spans="1:34" x14ac:dyDescent="0.25">
      <c r="C164" s="26" t="s">
        <v>231</v>
      </c>
      <c r="D164" s="26" t="s">
        <v>231</v>
      </c>
      <c r="E164" s="26" t="s">
        <v>231</v>
      </c>
      <c r="F164" s="26" t="s">
        <v>231</v>
      </c>
      <c r="G164" s="26" t="s">
        <v>231</v>
      </c>
      <c r="H164" s="26" t="s">
        <v>231</v>
      </c>
      <c r="I164" s="26" t="s">
        <v>231</v>
      </c>
      <c r="J164" s="26" t="s">
        <v>231</v>
      </c>
      <c r="K164" s="26" t="s">
        <v>231</v>
      </c>
      <c r="L164" s="26" t="s">
        <v>231</v>
      </c>
      <c r="M164" s="26" t="s">
        <v>231</v>
      </c>
      <c r="N164" s="26" t="s">
        <v>231</v>
      </c>
      <c r="O164" s="26" t="s">
        <v>231</v>
      </c>
      <c r="P164" s="26" t="s">
        <v>231</v>
      </c>
      <c r="Q164" s="26" t="s">
        <v>231</v>
      </c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3"/>
    </row>
    <row r="165" spans="1:34" x14ac:dyDescent="0.25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3"/>
    </row>
    <row r="166" spans="1:34" ht="19.5" x14ac:dyDescent="0.4">
      <c r="A166" s="50" t="s">
        <v>232</v>
      </c>
      <c r="B166" s="51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3"/>
    </row>
    <row r="167" spans="1:34" x14ac:dyDescent="0.25">
      <c r="A167" s="35"/>
      <c r="B167" s="35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3"/>
    </row>
    <row r="168" spans="1:34" ht="15.75" x14ac:dyDescent="0.3">
      <c r="A168" s="53" t="s">
        <v>233</v>
      </c>
      <c r="B168" s="54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3"/>
    </row>
    <row r="169" spans="1:34" x14ac:dyDescent="0.25">
      <c r="A169" s="35"/>
      <c r="B169" s="35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3"/>
    </row>
    <row r="170" spans="1:34" x14ac:dyDescent="0.25">
      <c r="A170" s="37" t="s">
        <v>234</v>
      </c>
      <c r="B170" s="38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3"/>
    </row>
    <row r="171" spans="1:34" x14ac:dyDescent="0.25">
      <c r="A171" s="31" t="s">
        <v>235</v>
      </c>
      <c r="B171" s="31" t="s">
        <v>236</v>
      </c>
      <c r="C171" s="64">
        <v>378462</v>
      </c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2">
        <f t="shared" ref="P171:P178" si="56">SUM(C171:O171)</f>
        <v>378462</v>
      </c>
      <c r="Q171" s="2">
        <f t="shared" ref="Q171:Q178" si="57">P171/13</f>
        <v>29112.461538461539</v>
      </c>
      <c r="R171" s="15">
        <f t="shared" ref="R171:R177" si="58">SUM(T171:Y171)+Q171</f>
        <v>0</v>
      </c>
      <c r="S171" s="15" t="s">
        <v>16</v>
      </c>
      <c r="T171" s="15">
        <f t="shared" ref="T171:Y171" si="59">-$Q171*T5</f>
        <v>-6200.9543076923073</v>
      </c>
      <c r="U171" s="15">
        <f t="shared" si="59"/>
        <v>-10131.136615384616</v>
      </c>
      <c r="V171" s="15">
        <f t="shared" si="59"/>
        <v>-4192.1944615384609</v>
      </c>
      <c r="W171" s="15">
        <f t="shared" si="59"/>
        <v>-29.112461538461538</v>
      </c>
      <c r="X171" s="15">
        <f t="shared" si="59"/>
        <v>-29.112461538461538</v>
      </c>
      <c r="Y171" s="15">
        <f t="shared" si="59"/>
        <v>-8529.9512307692312</v>
      </c>
      <c r="Z171" s="15"/>
      <c r="AA171" s="15" t="s">
        <v>16</v>
      </c>
      <c r="AB171" s="15">
        <f t="shared" ref="AB171:AG173" si="60">-$O171*AB$5</f>
        <v>0</v>
      </c>
      <c r="AC171" s="15">
        <f t="shared" si="60"/>
        <v>0</v>
      </c>
      <c r="AD171" s="15">
        <f t="shared" si="60"/>
        <v>0</v>
      </c>
      <c r="AE171" s="15">
        <f t="shared" si="60"/>
        <v>0</v>
      </c>
      <c r="AF171" s="15">
        <f t="shared" si="60"/>
        <v>0</v>
      </c>
      <c r="AG171" s="15">
        <f t="shared" si="60"/>
        <v>0</v>
      </c>
      <c r="AH171" s="27">
        <f t="shared" ref="AH171:AH177" si="61">SUM(AB171:AG171)+O171</f>
        <v>0</v>
      </c>
    </row>
    <row r="172" spans="1:34" x14ac:dyDescent="0.25">
      <c r="A172" s="31" t="s">
        <v>237</v>
      </c>
      <c r="B172" s="31" t="s">
        <v>238</v>
      </c>
      <c r="C172" s="64">
        <v>1212381</v>
      </c>
      <c r="D172" s="142">
        <v>3529076.1100000008</v>
      </c>
      <c r="E172" s="142">
        <v>2747234.4858333301</v>
      </c>
      <c r="F172" s="142">
        <v>2747234.4858333301</v>
      </c>
      <c r="G172" s="142">
        <v>2747234.4858333301</v>
      </c>
      <c r="H172" s="142">
        <v>2747234.4858333301</v>
      </c>
      <c r="I172" s="142">
        <v>2747234.4858333301</v>
      </c>
      <c r="J172" s="142">
        <v>2747234.4858333301</v>
      </c>
      <c r="K172" s="142">
        <v>2747234.4858333301</v>
      </c>
      <c r="L172" s="142">
        <v>2747234.4858333301</v>
      </c>
      <c r="M172" s="142">
        <v>2747234.4858333301</v>
      </c>
      <c r="N172" s="142">
        <v>2747234.4858333301</v>
      </c>
      <c r="O172" s="142">
        <v>2747234.4858333301</v>
      </c>
      <c r="P172" s="2">
        <f t="shared" si="56"/>
        <v>34961036.454166643</v>
      </c>
      <c r="Q172" s="2">
        <f t="shared" si="57"/>
        <v>2689310.4964743573</v>
      </c>
      <c r="R172" s="15">
        <f t="shared" si="58"/>
        <v>0</v>
      </c>
      <c r="S172" s="15" t="s">
        <v>16</v>
      </c>
      <c r="T172" s="15">
        <f t="shared" ref="T172:Y172" si="62">-$Q172*T5</f>
        <v>-572823.13574903808</v>
      </c>
      <c r="U172" s="15">
        <f t="shared" si="62"/>
        <v>-935880.05277307623</v>
      </c>
      <c r="V172" s="15">
        <f t="shared" si="62"/>
        <v>-387260.71149230743</v>
      </c>
      <c r="W172" s="15">
        <f t="shared" si="62"/>
        <v>-2689.3104964743575</v>
      </c>
      <c r="X172" s="15">
        <f t="shared" si="62"/>
        <v>-2689.3104964743575</v>
      </c>
      <c r="Y172" s="15">
        <f t="shared" si="62"/>
        <v>-787967.97546698665</v>
      </c>
      <c r="Z172" s="15"/>
      <c r="AA172" s="15" t="s">
        <v>16</v>
      </c>
      <c r="AB172" s="15">
        <f t="shared" si="60"/>
        <v>-585160.94548249932</v>
      </c>
      <c r="AC172" s="15">
        <f t="shared" si="60"/>
        <v>-956037.60106999881</v>
      </c>
      <c r="AD172" s="15">
        <f t="shared" si="60"/>
        <v>-395601.76595999952</v>
      </c>
      <c r="AE172" s="15">
        <f t="shared" si="60"/>
        <v>-2747.2344858333299</v>
      </c>
      <c r="AF172" s="15">
        <f t="shared" si="60"/>
        <v>-2747.2344858333299</v>
      </c>
      <c r="AG172" s="15">
        <f t="shared" si="60"/>
        <v>-804939.70434916567</v>
      </c>
      <c r="AH172" s="27">
        <f t="shared" si="61"/>
        <v>0</v>
      </c>
    </row>
    <row r="173" spans="1:34" x14ac:dyDescent="0.25">
      <c r="A173" s="31" t="s">
        <v>239</v>
      </c>
      <c r="B173" s="31" t="s">
        <v>240</v>
      </c>
      <c r="C173" s="64">
        <v>56437</v>
      </c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2">
        <f t="shared" si="56"/>
        <v>56437</v>
      </c>
      <c r="Q173" s="2">
        <f t="shared" si="57"/>
        <v>4341.3076923076924</v>
      </c>
      <c r="R173" s="15">
        <f t="shared" si="58"/>
        <v>0</v>
      </c>
      <c r="S173" s="15" t="s">
        <v>16</v>
      </c>
      <c r="T173" s="15">
        <f t="shared" ref="T173:Y173" si="63">-$Q173*T5</f>
        <v>-924.69853846153842</v>
      </c>
      <c r="U173" s="15">
        <f t="shared" si="63"/>
        <v>-1510.7750769230768</v>
      </c>
      <c r="V173" s="15">
        <f t="shared" si="63"/>
        <v>-625.14830769230764</v>
      </c>
      <c r="W173" s="15">
        <f t="shared" si="63"/>
        <v>-4.3413076923076925</v>
      </c>
      <c r="X173" s="15">
        <f t="shared" si="63"/>
        <v>-4.3413076923076925</v>
      </c>
      <c r="Y173" s="15">
        <f t="shared" si="63"/>
        <v>-1272.0031538461537</v>
      </c>
      <c r="Z173" s="15"/>
      <c r="AA173" s="15" t="s">
        <v>16</v>
      </c>
      <c r="AB173" s="15">
        <f t="shared" si="60"/>
        <v>0</v>
      </c>
      <c r="AC173" s="15">
        <f t="shared" si="60"/>
        <v>0</v>
      </c>
      <c r="AD173" s="15">
        <f t="shared" si="60"/>
        <v>0</v>
      </c>
      <c r="AE173" s="15">
        <f t="shared" si="60"/>
        <v>0</v>
      </c>
      <c r="AF173" s="15">
        <f t="shared" si="60"/>
        <v>0</v>
      </c>
      <c r="AG173" s="15">
        <f t="shared" si="60"/>
        <v>0</v>
      </c>
      <c r="AH173" s="27">
        <f t="shared" si="61"/>
        <v>0</v>
      </c>
    </row>
    <row r="174" spans="1:34" x14ac:dyDescent="0.25">
      <c r="A174" s="31" t="s">
        <v>241</v>
      </c>
      <c r="B174" s="31" t="s">
        <v>242</v>
      </c>
      <c r="C174" s="64">
        <v>326</v>
      </c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2">
        <f t="shared" si="56"/>
        <v>326</v>
      </c>
      <c r="Q174" s="2">
        <f t="shared" si="57"/>
        <v>25.076923076923077</v>
      </c>
      <c r="R174" s="15">
        <f t="shared" si="58"/>
        <v>0</v>
      </c>
      <c r="S174" s="15" t="s">
        <v>34</v>
      </c>
      <c r="T174" s="15">
        <f t="shared" ref="T174:Y174" si="64">-$Q174*T7</f>
        <v>-4.8147692307692305</v>
      </c>
      <c r="U174" s="15">
        <f t="shared" si="64"/>
        <v>-9.9329692307692312</v>
      </c>
      <c r="V174" s="15">
        <f t="shared" si="64"/>
        <v>-3.4355384615384619</v>
      </c>
      <c r="W174" s="15">
        <f t="shared" si="64"/>
        <v>-8.0246153846153856E-2</v>
      </c>
      <c r="X174" s="15">
        <f t="shared" si="64"/>
        <v>-5.5169230769230769E-2</v>
      </c>
      <c r="Y174" s="15">
        <f t="shared" si="64"/>
        <v>-6.7582307692307699</v>
      </c>
      <c r="Z174" s="15"/>
      <c r="AA174" s="15" t="s">
        <v>34</v>
      </c>
      <c r="AB174" s="15">
        <f t="shared" ref="AB174:AG178" si="65">-$O174*AB$7</f>
        <v>0</v>
      </c>
      <c r="AC174" s="15">
        <f t="shared" si="65"/>
        <v>0</v>
      </c>
      <c r="AD174" s="15">
        <f t="shared" si="65"/>
        <v>0</v>
      </c>
      <c r="AE174" s="15">
        <f t="shared" si="65"/>
        <v>0</v>
      </c>
      <c r="AF174" s="15">
        <f t="shared" si="65"/>
        <v>0</v>
      </c>
      <c r="AG174" s="15">
        <f t="shared" si="65"/>
        <v>0</v>
      </c>
      <c r="AH174" s="27">
        <f t="shared" si="61"/>
        <v>0</v>
      </c>
    </row>
    <row r="175" spans="1:34" x14ac:dyDescent="0.25">
      <c r="A175" s="31" t="s">
        <v>243</v>
      </c>
      <c r="B175" s="31" t="s">
        <v>244</v>
      </c>
      <c r="C175" s="64">
        <v>100</v>
      </c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2">
        <f t="shared" si="56"/>
        <v>100</v>
      </c>
      <c r="Q175" s="2">
        <f t="shared" si="57"/>
        <v>7.6923076923076925</v>
      </c>
      <c r="R175" s="15">
        <f t="shared" si="58"/>
        <v>0</v>
      </c>
      <c r="S175" s="15" t="s">
        <v>34</v>
      </c>
      <c r="T175" s="15">
        <f t="shared" ref="T175:Y178" si="66">-$Q175*T$7</f>
        <v>-1.476923076923077</v>
      </c>
      <c r="U175" s="15">
        <f t="shared" si="66"/>
        <v>-3.0469230769230768</v>
      </c>
      <c r="V175" s="15">
        <f t="shared" si="66"/>
        <v>-1.0538461538461539</v>
      </c>
      <c r="W175" s="15">
        <f t="shared" si="66"/>
        <v>-2.4615384615384619E-2</v>
      </c>
      <c r="X175" s="15">
        <f t="shared" si="66"/>
        <v>-1.6923076923076926E-2</v>
      </c>
      <c r="Y175" s="15">
        <f t="shared" si="66"/>
        <v>-2.0730769230769233</v>
      </c>
      <c r="Z175" s="15"/>
      <c r="AA175" s="15" t="s">
        <v>34</v>
      </c>
      <c r="AB175" s="15">
        <f t="shared" si="65"/>
        <v>0</v>
      </c>
      <c r="AC175" s="15">
        <f t="shared" si="65"/>
        <v>0</v>
      </c>
      <c r="AD175" s="15">
        <f t="shared" si="65"/>
        <v>0</v>
      </c>
      <c r="AE175" s="15">
        <f t="shared" si="65"/>
        <v>0</v>
      </c>
      <c r="AF175" s="15">
        <f t="shared" si="65"/>
        <v>0</v>
      </c>
      <c r="AG175" s="15">
        <f t="shared" si="65"/>
        <v>0</v>
      </c>
      <c r="AH175" s="27">
        <f t="shared" si="61"/>
        <v>0</v>
      </c>
    </row>
    <row r="176" spans="1:34" x14ac:dyDescent="0.25">
      <c r="A176" s="31" t="s">
        <v>245</v>
      </c>
      <c r="B176" s="31" t="s">
        <v>246</v>
      </c>
      <c r="C176" s="64">
        <v>2262</v>
      </c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2">
        <f t="shared" si="56"/>
        <v>2262</v>
      </c>
      <c r="Q176" s="2">
        <f t="shared" si="57"/>
        <v>174</v>
      </c>
      <c r="R176" s="15">
        <f t="shared" si="58"/>
        <v>0</v>
      </c>
      <c r="S176" s="15" t="s">
        <v>34</v>
      </c>
      <c r="T176" s="15">
        <f t="shared" si="66"/>
        <v>-33.408000000000001</v>
      </c>
      <c r="U176" s="15">
        <f t="shared" si="66"/>
        <v>-68.921400000000006</v>
      </c>
      <c r="V176" s="15">
        <f t="shared" si="66"/>
        <v>-23.838000000000001</v>
      </c>
      <c r="W176" s="15">
        <f t="shared" si="66"/>
        <v>-0.55680000000000007</v>
      </c>
      <c r="X176" s="15">
        <f t="shared" si="66"/>
        <v>-0.38280000000000003</v>
      </c>
      <c r="Y176" s="15">
        <f t="shared" si="66"/>
        <v>-46.893000000000001</v>
      </c>
      <c r="Z176" s="15"/>
      <c r="AA176" s="15" t="s">
        <v>34</v>
      </c>
      <c r="AB176" s="15">
        <f t="shared" si="65"/>
        <v>0</v>
      </c>
      <c r="AC176" s="15">
        <f t="shared" si="65"/>
        <v>0</v>
      </c>
      <c r="AD176" s="15">
        <f t="shared" si="65"/>
        <v>0</v>
      </c>
      <c r="AE176" s="15">
        <f t="shared" si="65"/>
        <v>0</v>
      </c>
      <c r="AF176" s="15">
        <f t="shared" si="65"/>
        <v>0</v>
      </c>
      <c r="AG176" s="15">
        <f t="shared" si="65"/>
        <v>0</v>
      </c>
      <c r="AH176" s="27">
        <f t="shared" si="61"/>
        <v>0</v>
      </c>
    </row>
    <row r="177" spans="1:34" x14ac:dyDescent="0.25">
      <c r="A177" s="31" t="s">
        <v>247</v>
      </c>
      <c r="B177" s="31" t="s">
        <v>248</v>
      </c>
      <c r="C177" s="64">
        <v>197746</v>
      </c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2">
        <f t="shared" si="56"/>
        <v>197746</v>
      </c>
      <c r="Q177" s="2">
        <f t="shared" si="57"/>
        <v>15211.23076923077</v>
      </c>
      <c r="R177" s="15">
        <f t="shared" si="58"/>
        <v>0</v>
      </c>
      <c r="S177" s="15" t="s">
        <v>34</v>
      </c>
      <c r="T177" s="15">
        <f>-$Q177*T$7</f>
        <v>-2920.5563076923077</v>
      </c>
      <c r="U177" s="15">
        <f t="shared" si="66"/>
        <v>-6025.1685076923077</v>
      </c>
      <c r="V177" s="15">
        <f t="shared" si="66"/>
        <v>-2083.9386153846158</v>
      </c>
      <c r="W177" s="15">
        <f t="shared" si="66"/>
        <v>-48.675938461538465</v>
      </c>
      <c r="X177" s="15">
        <f t="shared" si="66"/>
        <v>-33.464707692307698</v>
      </c>
      <c r="Y177" s="15">
        <f t="shared" si="66"/>
        <v>-4099.426692307693</v>
      </c>
      <c r="Z177" s="15"/>
      <c r="AA177" s="15" t="s">
        <v>34</v>
      </c>
      <c r="AB177" s="15">
        <f t="shared" si="65"/>
        <v>0</v>
      </c>
      <c r="AC177" s="15">
        <f t="shared" si="65"/>
        <v>0</v>
      </c>
      <c r="AD177" s="15">
        <f t="shared" si="65"/>
        <v>0</v>
      </c>
      <c r="AE177" s="15">
        <f t="shared" si="65"/>
        <v>0</v>
      </c>
      <c r="AF177" s="15">
        <f t="shared" si="65"/>
        <v>0</v>
      </c>
      <c r="AG177" s="15">
        <f t="shared" si="65"/>
        <v>0</v>
      </c>
      <c r="AH177" s="27">
        <f t="shared" si="61"/>
        <v>0</v>
      </c>
    </row>
    <row r="178" spans="1:34" x14ac:dyDescent="0.25">
      <c r="A178" s="31" t="s">
        <v>249</v>
      </c>
      <c r="B178" s="31" t="s">
        <v>250</v>
      </c>
      <c r="C178" s="64">
        <v>-58894</v>
      </c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2">
        <f t="shared" si="56"/>
        <v>-58894</v>
      </c>
      <c r="Q178" s="2">
        <f t="shared" si="57"/>
        <v>-4530.3076923076924</v>
      </c>
      <c r="R178" s="15"/>
      <c r="S178" s="15" t="s">
        <v>34</v>
      </c>
      <c r="T178" s="15">
        <f>-$Q178*T$7</f>
        <v>869.81907692307698</v>
      </c>
      <c r="U178" s="15">
        <f t="shared" si="66"/>
        <v>1794.4548769230769</v>
      </c>
      <c r="V178" s="15">
        <f t="shared" si="66"/>
        <v>620.65215384615385</v>
      </c>
      <c r="W178" s="15">
        <f t="shared" si="66"/>
        <v>14.496984615384616</v>
      </c>
      <c r="X178" s="15">
        <f t="shared" si="66"/>
        <v>9.966676923076923</v>
      </c>
      <c r="Y178" s="15">
        <f t="shared" si="66"/>
        <v>1220.9179230769232</v>
      </c>
      <c r="Z178" s="15"/>
      <c r="AA178" s="15" t="s">
        <v>34</v>
      </c>
      <c r="AB178" s="15">
        <f t="shared" si="65"/>
        <v>0</v>
      </c>
      <c r="AC178" s="15">
        <f t="shared" si="65"/>
        <v>0</v>
      </c>
      <c r="AD178" s="15">
        <f t="shared" si="65"/>
        <v>0</v>
      </c>
      <c r="AE178" s="15">
        <f t="shared" si="65"/>
        <v>0</v>
      </c>
      <c r="AF178" s="15">
        <f t="shared" si="65"/>
        <v>0</v>
      </c>
      <c r="AG178" s="15">
        <f t="shared" si="65"/>
        <v>0</v>
      </c>
      <c r="AH178" s="27"/>
    </row>
    <row r="179" spans="1:34" x14ac:dyDescent="0.25">
      <c r="A179" s="35"/>
      <c r="B179" s="35"/>
      <c r="C179" s="36" t="s">
        <v>67</v>
      </c>
      <c r="D179" s="36" t="s">
        <v>67</v>
      </c>
      <c r="E179" s="36" t="s">
        <v>67</v>
      </c>
      <c r="F179" s="36" t="s">
        <v>67</v>
      </c>
      <c r="G179" s="36" t="s">
        <v>67</v>
      </c>
      <c r="H179" s="36" t="s">
        <v>67</v>
      </c>
      <c r="I179" s="36" t="s">
        <v>67</v>
      </c>
      <c r="J179" s="36" t="s">
        <v>67</v>
      </c>
      <c r="K179" s="36" t="s">
        <v>67</v>
      </c>
      <c r="L179" s="36" t="s">
        <v>67</v>
      </c>
      <c r="M179" s="36" t="s">
        <v>67</v>
      </c>
      <c r="N179" s="36" t="s">
        <v>67</v>
      </c>
      <c r="O179" s="36" t="s">
        <v>67</v>
      </c>
      <c r="P179" s="36" t="s">
        <v>67</v>
      </c>
      <c r="Q179" s="36" t="s">
        <v>67</v>
      </c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3"/>
    </row>
    <row r="180" spans="1:34" x14ac:dyDescent="0.25">
      <c r="A180" s="37" t="s">
        <v>251</v>
      </c>
      <c r="B180" s="38"/>
      <c r="C180" s="161">
        <f>SUM(C171:C178)</f>
        <v>1788820</v>
      </c>
      <c r="D180" s="39">
        <f t="shared" ref="D180:Q180" si="67">SUM(D171:D178)</f>
        <v>3529076.1100000008</v>
      </c>
      <c r="E180" s="39">
        <f t="shared" si="67"/>
        <v>2747234.4858333301</v>
      </c>
      <c r="F180" s="39">
        <f t="shared" si="67"/>
        <v>2747234.4858333301</v>
      </c>
      <c r="G180" s="39">
        <f t="shared" si="67"/>
        <v>2747234.4858333301</v>
      </c>
      <c r="H180" s="39">
        <f t="shared" si="67"/>
        <v>2747234.4858333301</v>
      </c>
      <c r="I180" s="39">
        <f t="shared" si="67"/>
        <v>2747234.4858333301</v>
      </c>
      <c r="J180" s="39">
        <f t="shared" si="67"/>
        <v>2747234.4858333301</v>
      </c>
      <c r="K180" s="39">
        <f t="shared" si="67"/>
        <v>2747234.4858333301</v>
      </c>
      <c r="L180" s="39">
        <f t="shared" si="67"/>
        <v>2747234.4858333301</v>
      </c>
      <c r="M180" s="39">
        <f t="shared" si="67"/>
        <v>2747234.4858333301</v>
      </c>
      <c r="N180" s="39">
        <f t="shared" si="67"/>
        <v>2747234.4858333301</v>
      </c>
      <c r="O180" s="39">
        <f t="shared" si="67"/>
        <v>2747234.4858333301</v>
      </c>
      <c r="P180" s="39">
        <f t="shared" si="67"/>
        <v>35537475.454166643</v>
      </c>
      <c r="Q180" s="39">
        <f t="shared" si="67"/>
        <v>2733651.9580128193</v>
      </c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3"/>
    </row>
    <row r="181" spans="1:34" x14ac:dyDescent="0.25">
      <c r="A181" s="35"/>
      <c r="B181" s="35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3"/>
    </row>
    <row r="182" spans="1:34" x14ac:dyDescent="0.25">
      <c r="A182" s="37" t="s">
        <v>252</v>
      </c>
      <c r="B182" s="38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3"/>
    </row>
    <row r="183" spans="1:34" x14ac:dyDescent="0.25">
      <c r="A183" s="31" t="s">
        <v>253</v>
      </c>
      <c r="B183" s="31" t="s">
        <v>254</v>
      </c>
      <c r="C183" s="64">
        <v>20873</v>
      </c>
      <c r="D183" s="64">
        <v>20873</v>
      </c>
      <c r="E183" s="64">
        <v>20873</v>
      </c>
      <c r="F183" s="64">
        <v>20873</v>
      </c>
      <c r="G183" s="64">
        <v>20873</v>
      </c>
      <c r="H183" s="64">
        <v>20873</v>
      </c>
      <c r="I183" s="64">
        <v>20873</v>
      </c>
      <c r="J183" s="64">
        <v>20873</v>
      </c>
      <c r="K183" s="64">
        <v>20873</v>
      </c>
      <c r="L183" s="64">
        <v>20873</v>
      </c>
      <c r="M183" s="64">
        <v>20873</v>
      </c>
      <c r="N183" s="64">
        <v>20873</v>
      </c>
      <c r="O183" s="64">
        <v>20873</v>
      </c>
      <c r="P183" s="2">
        <f t="shared" ref="P183:P184" si="68">SUM(C183:O183)</f>
        <v>271349</v>
      </c>
      <c r="Q183" s="2">
        <f t="shared" ref="Q183:Q184" si="69">P183/13</f>
        <v>20873</v>
      </c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3"/>
    </row>
    <row r="184" spans="1:34" x14ac:dyDescent="0.25">
      <c r="A184" s="31" t="s">
        <v>255</v>
      </c>
      <c r="B184" s="31" t="s">
        <v>256</v>
      </c>
      <c r="C184" s="64">
        <v>2464378</v>
      </c>
      <c r="D184" s="64">
        <v>2464378</v>
      </c>
      <c r="E184" s="64">
        <v>2464378</v>
      </c>
      <c r="F184" s="64">
        <v>2464378</v>
      </c>
      <c r="G184" s="64">
        <v>2464378</v>
      </c>
      <c r="H184" s="64">
        <v>2464378</v>
      </c>
      <c r="I184" s="64">
        <v>2464378</v>
      </c>
      <c r="J184" s="64">
        <v>2464378</v>
      </c>
      <c r="K184" s="64">
        <v>2464378</v>
      </c>
      <c r="L184" s="64">
        <v>2464378</v>
      </c>
      <c r="M184" s="64">
        <v>2464378</v>
      </c>
      <c r="N184" s="64">
        <v>2464378</v>
      </c>
      <c r="O184" s="64">
        <v>2464378</v>
      </c>
      <c r="P184" s="2">
        <f t="shared" si="68"/>
        <v>32036914</v>
      </c>
      <c r="Q184" s="2">
        <f t="shared" si="69"/>
        <v>2464378</v>
      </c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3"/>
    </row>
    <row r="185" spans="1:34" x14ac:dyDescent="0.25">
      <c r="A185" s="35"/>
      <c r="B185" s="35"/>
      <c r="C185" s="36" t="s">
        <v>67</v>
      </c>
      <c r="D185" s="36" t="s">
        <v>67</v>
      </c>
      <c r="E185" s="36" t="s">
        <v>67</v>
      </c>
      <c r="F185" s="36" t="s">
        <v>67</v>
      </c>
      <c r="G185" s="36" t="s">
        <v>67</v>
      </c>
      <c r="H185" s="36" t="s">
        <v>67</v>
      </c>
      <c r="I185" s="36" t="s">
        <v>67</v>
      </c>
      <c r="J185" s="36" t="s">
        <v>67</v>
      </c>
      <c r="K185" s="36" t="s">
        <v>67</v>
      </c>
      <c r="L185" s="36" t="s">
        <v>67</v>
      </c>
      <c r="M185" s="36" t="s">
        <v>67</v>
      </c>
      <c r="N185" s="36" t="s">
        <v>67</v>
      </c>
      <c r="O185" s="36" t="s">
        <v>67</v>
      </c>
      <c r="P185" s="36" t="s">
        <v>67</v>
      </c>
      <c r="Q185" s="36" t="s">
        <v>67</v>
      </c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3"/>
    </row>
    <row r="186" spans="1:34" x14ac:dyDescent="0.25">
      <c r="A186" s="37" t="s">
        <v>257</v>
      </c>
      <c r="B186" s="38"/>
      <c r="C186" s="161">
        <f>SUM(C183:C184)</f>
        <v>2485251</v>
      </c>
      <c r="D186" s="39">
        <f t="shared" ref="D186:Q186" si="70">SUM(D183:D184)</f>
        <v>2485251</v>
      </c>
      <c r="E186" s="39">
        <f t="shared" si="70"/>
        <v>2485251</v>
      </c>
      <c r="F186" s="39">
        <f t="shared" si="70"/>
        <v>2485251</v>
      </c>
      <c r="G186" s="39">
        <f t="shared" si="70"/>
        <v>2485251</v>
      </c>
      <c r="H186" s="39">
        <f t="shared" si="70"/>
        <v>2485251</v>
      </c>
      <c r="I186" s="39">
        <f t="shared" si="70"/>
        <v>2485251</v>
      </c>
      <c r="J186" s="39">
        <f t="shared" si="70"/>
        <v>2485251</v>
      </c>
      <c r="K186" s="39">
        <f t="shared" si="70"/>
        <v>2485251</v>
      </c>
      <c r="L186" s="39">
        <f t="shared" si="70"/>
        <v>2485251</v>
      </c>
      <c r="M186" s="39">
        <f t="shared" si="70"/>
        <v>2485251</v>
      </c>
      <c r="N186" s="39">
        <f t="shared" si="70"/>
        <v>2485251</v>
      </c>
      <c r="O186" s="39">
        <f t="shared" si="70"/>
        <v>2485251</v>
      </c>
      <c r="P186" s="39">
        <f t="shared" si="70"/>
        <v>32308263</v>
      </c>
      <c r="Q186" s="39">
        <f t="shared" si="70"/>
        <v>2485251</v>
      </c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3"/>
    </row>
    <row r="187" spans="1:34" x14ac:dyDescent="0.25">
      <c r="A187" s="35"/>
      <c r="B187" s="35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3"/>
    </row>
    <row r="188" spans="1:34" x14ac:dyDescent="0.25">
      <c r="A188" s="37" t="s">
        <v>258</v>
      </c>
      <c r="B188" s="38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24"/>
      <c r="Q188" s="24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3"/>
    </row>
    <row r="189" spans="1:34" x14ac:dyDescent="0.25">
      <c r="A189" s="31" t="s">
        <v>259</v>
      </c>
      <c r="B189" s="31" t="s">
        <v>260</v>
      </c>
      <c r="C189" s="64">
        <v>-350000</v>
      </c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2">
        <f t="shared" ref="P189:P194" si="71">SUM(C189:O189)</f>
        <v>-350000</v>
      </c>
      <c r="Q189" s="2">
        <f t="shared" ref="Q189:Q194" si="72">P189/13</f>
        <v>-26923.076923076922</v>
      </c>
      <c r="R189" s="15">
        <f>SUM(T189:Y189)+Q189</f>
        <v>0</v>
      </c>
      <c r="S189" s="15" t="s">
        <v>16</v>
      </c>
      <c r="T189" s="15">
        <f t="shared" ref="T189:Y189" si="73">-$Q189*T5</f>
        <v>5734.6153846153838</v>
      </c>
      <c r="U189" s="15">
        <f t="shared" si="73"/>
        <v>9369.2307692307677</v>
      </c>
      <c r="V189" s="15">
        <f t="shared" si="73"/>
        <v>3876.9230769230767</v>
      </c>
      <c r="W189" s="15">
        <f t="shared" si="73"/>
        <v>26.923076923076923</v>
      </c>
      <c r="X189" s="15">
        <f t="shared" si="73"/>
        <v>26.923076923076923</v>
      </c>
      <c r="Y189" s="15">
        <f t="shared" si="73"/>
        <v>7888.4615384615381</v>
      </c>
      <c r="Z189" s="15"/>
      <c r="AA189" s="15" t="s">
        <v>16</v>
      </c>
      <c r="AB189" s="15">
        <f t="shared" ref="AB189:AG194" si="74">-$O189*AB$5</f>
        <v>0</v>
      </c>
      <c r="AC189" s="15">
        <f t="shared" si="74"/>
        <v>0</v>
      </c>
      <c r="AD189" s="15">
        <f t="shared" si="74"/>
        <v>0</v>
      </c>
      <c r="AE189" s="15">
        <f t="shared" si="74"/>
        <v>0</v>
      </c>
      <c r="AF189" s="15">
        <f t="shared" si="74"/>
        <v>0</v>
      </c>
      <c r="AG189" s="15">
        <f t="shared" si="74"/>
        <v>0</v>
      </c>
      <c r="AH189" s="27">
        <f t="shared" ref="AH189:AH194" si="75">SUM(AB189:AG189)+O189</f>
        <v>0</v>
      </c>
    </row>
    <row r="190" spans="1:34" x14ac:dyDescent="0.25">
      <c r="A190" s="31" t="s">
        <v>261</v>
      </c>
      <c r="B190" s="31" t="s">
        <v>262</v>
      </c>
      <c r="C190" s="64">
        <v>-59545</v>
      </c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2">
        <f t="shared" si="71"/>
        <v>-59545</v>
      </c>
      <c r="Q190" s="2">
        <f t="shared" si="72"/>
        <v>-4580.3846153846152</v>
      </c>
      <c r="R190" s="15">
        <f>SUM(T190:Y190)+Q190</f>
        <v>0</v>
      </c>
      <c r="S190" s="15" t="s">
        <v>16</v>
      </c>
      <c r="T190" s="15">
        <f t="shared" ref="T190:Y190" si="76">-$Q190*T5</f>
        <v>975.62192307692305</v>
      </c>
      <c r="U190" s="15">
        <f t="shared" si="76"/>
        <v>1593.9738461538459</v>
      </c>
      <c r="V190" s="15">
        <f t="shared" si="76"/>
        <v>659.57538461538456</v>
      </c>
      <c r="W190" s="15">
        <f t="shared" si="76"/>
        <v>4.5803846153846157</v>
      </c>
      <c r="X190" s="15">
        <f t="shared" si="76"/>
        <v>4.5803846153846157</v>
      </c>
      <c r="Y190" s="15">
        <f t="shared" si="76"/>
        <v>1342.0526923076923</v>
      </c>
      <c r="Z190" s="15"/>
      <c r="AA190" s="15" t="s">
        <v>16</v>
      </c>
      <c r="AB190" s="15">
        <f t="shared" si="74"/>
        <v>0</v>
      </c>
      <c r="AC190" s="15">
        <f t="shared" si="74"/>
        <v>0</v>
      </c>
      <c r="AD190" s="15">
        <f t="shared" si="74"/>
        <v>0</v>
      </c>
      <c r="AE190" s="15">
        <f t="shared" si="74"/>
        <v>0</v>
      </c>
      <c r="AF190" s="15">
        <f t="shared" si="74"/>
        <v>0</v>
      </c>
      <c r="AG190" s="15">
        <f t="shared" si="74"/>
        <v>0</v>
      </c>
      <c r="AH190" s="27">
        <f t="shared" si="75"/>
        <v>0</v>
      </c>
    </row>
    <row r="191" spans="1:34" x14ac:dyDescent="0.25">
      <c r="A191" s="31" t="s">
        <v>263</v>
      </c>
      <c r="B191" s="31" t="s">
        <v>264</v>
      </c>
      <c r="C191" s="64">
        <v>-626133</v>
      </c>
      <c r="D191" s="143">
        <v>-1541373.22</v>
      </c>
      <c r="E191" s="143">
        <v>-1546398.4281153365</v>
      </c>
      <c r="F191" s="143">
        <v>-1545174.97</v>
      </c>
      <c r="G191" s="143">
        <v>-1550451.4385211067</v>
      </c>
      <c r="H191" s="143">
        <v>-1555979.1674479751</v>
      </c>
      <c r="I191" s="143">
        <v>-1545174.97</v>
      </c>
      <c r="J191" s="143">
        <v>-1550555.0973597553</v>
      </c>
      <c r="K191" s="143">
        <v>-1556447.6178013978</v>
      </c>
      <c r="L191" s="143">
        <v>-1545174.97</v>
      </c>
      <c r="M191" s="143">
        <v>-1550555.0973597553</v>
      </c>
      <c r="N191" s="143">
        <v>-11016.451260446338</v>
      </c>
      <c r="O191" s="143">
        <v>0</v>
      </c>
      <c r="P191" s="2">
        <f t="shared" si="71"/>
        <v>-16124434.427865773</v>
      </c>
      <c r="Q191" s="2">
        <f t="shared" si="72"/>
        <v>-1240341.1098358287</v>
      </c>
      <c r="R191" s="15">
        <f>SUM(T191:Y191)+Q191</f>
        <v>0</v>
      </c>
      <c r="S191" s="15" t="s">
        <v>16</v>
      </c>
      <c r="T191" s="15">
        <f t="shared" ref="T191:Y191" si="77">-$Q191*T5</f>
        <v>264192.65639503149</v>
      </c>
      <c r="U191" s="15">
        <f t="shared" si="77"/>
        <v>431638.70622286835</v>
      </c>
      <c r="V191" s="15">
        <f t="shared" si="77"/>
        <v>178609.11981635931</v>
      </c>
      <c r="W191" s="15">
        <f t="shared" si="77"/>
        <v>1240.3411098358288</v>
      </c>
      <c r="X191" s="15">
        <f t="shared" si="77"/>
        <v>1240.3411098358288</v>
      </c>
      <c r="Y191" s="15">
        <f t="shared" si="77"/>
        <v>363419.94518189778</v>
      </c>
      <c r="Z191" s="15"/>
      <c r="AA191" s="15" t="s">
        <v>16</v>
      </c>
      <c r="AB191" s="15">
        <f t="shared" si="74"/>
        <v>0</v>
      </c>
      <c r="AC191" s="15">
        <f t="shared" si="74"/>
        <v>0</v>
      </c>
      <c r="AD191" s="15">
        <f t="shared" si="74"/>
        <v>0</v>
      </c>
      <c r="AE191" s="15">
        <f t="shared" si="74"/>
        <v>0</v>
      </c>
      <c r="AF191" s="15">
        <f t="shared" si="74"/>
        <v>0</v>
      </c>
      <c r="AG191" s="15">
        <f t="shared" si="74"/>
        <v>0</v>
      </c>
      <c r="AH191" s="27">
        <f t="shared" si="75"/>
        <v>0</v>
      </c>
    </row>
    <row r="192" spans="1:34" x14ac:dyDescent="0.25">
      <c r="A192" s="31" t="s">
        <v>265</v>
      </c>
      <c r="B192" s="31" t="s">
        <v>266</v>
      </c>
      <c r="C192" s="64">
        <v>-343881</v>
      </c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2">
        <f t="shared" si="71"/>
        <v>-343881</v>
      </c>
      <c r="Q192" s="2">
        <f t="shared" si="72"/>
        <v>-26452.384615384617</v>
      </c>
      <c r="R192" s="15">
        <f>SUM(T192:Y192)+Q192</f>
        <v>0</v>
      </c>
      <c r="S192" s="15" t="s">
        <v>16</v>
      </c>
      <c r="T192" s="15">
        <f t="shared" ref="T192:Y192" si="78">-$Q192*T5</f>
        <v>5634.3579230769237</v>
      </c>
      <c r="U192" s="15">
        <f t="shared" si="78"/>
        <v>9205.4298461538456</v>
      </c>
      <c r="V192" s="15">
        <f t="shared" si="78"/>
        <v>3809.1433846153845</v>
      </c>
      <c r="W192" s="15">
        <f t="shared" si="78"/>
        <v>26.452384615384616</v>
      </c>
      <c r="X192" s="15">
        <f t="shared" si="78"/>
        <v>26.452384615384616</v>
      </c>
      <c r="Y192" s="15">
        <f t="shared" si="78"/>
        <v>7750.5486923076924</v>
      </c>
      <c r="Z192" s="15"/>
      <c r="AA192" s="15" t="s">
        <v>16</v>
      </c>
      <c r="AB192" s="15">
        <f t="shared" si="74"/>
        <v>0</v>
      </c>
      <c r="AC192" s="15">
        <f t="shared" si="74"/>
        <v>0</v>
      </c>
      <c r="AD192" s="15">
        <f t="shared" si="74"/>
        <v>0</v>
      </c>
      <c r="AE192" s="15">
        <f t="shared" si="74"/>
        <v>0</v>
      </c>
      <c r="AF192" s="15">
        <f t="shared" si="74"/>
        <v>0</v>
      </c>
      <c r="AG192" s="15">
        <f t="shared" si="74"/>
        <v>0</v>
      </c>
      <c r="AH192" s="27">
        <f t="shared" si="75"/>
        <v>0</v>
      </c>
    </row>
    <row r="193" spans="1:34" x14ac:dyDescent="0.25">
      <c r="A193" s="31" t="s">
        <v>267</v>
      </c>
      <c r="B193" s="31" t="s">
        <v>268</v>
      </c>
      <c r="C193" s="64">
        <v>-165616</v>
      </c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2">
        <f t="shared" si="71"/>
        <v>-165616</v>
      </c>
      <c r="Q193" s="2">
        <f t="shared" si="72"/>
        <v>-12739.692307692309</v>
      </c>
      <c r="R193" s="15"/>
      <c r="S193" s="15" t="s">
        <v>16</v>
      </c>
      <c r="T193" s="15">
        <f t="shared" ref="T193:Y193" si="79">-$Q193*T5</f>
        <v>2713.5544615384615</v>
      </c>
      <c r="U193" s="15">
        <f t="shared" si="79"/>
        <v>4433.4129230769231</v>
      </c>
      <c r="V193" s="15">
        <f t="shared" si="79"/>
        <v>1834.5156923076922</v>
      </c>
      <c r="W193" s="15">
        <f t="shared" si="79"/>
        <v>12.739692307692309</v>
      </c>
      <c r="X193" s="15">
        <f t="shared" si="79"/>
        <v>12.739692307692309</v>
      </c>
      <c r="Y193" s="15">
        <f t="shared" si="79"/>
        <v>3732.7298461538462</v>
      </c>
      <c r="Z193" s="15"/>
      <c r="AA193" s="15" t="s">
        <v>16</v>
      </c>
      <c r="AB193" s="15">
        <f t="shared" si="74"/>
        <v>0</v>
      </c>
      <c r="AC193" s="15">
        <f t="shared" si="74"/>
        <v>0</v>
      </c>
      <c r="AD193" s="15">
        <f t="shared" si="74"/>
        <v>0</v>
      </c>
      <c r="AE193" s="15">
        <f t="shared" si="74"/>
        <v>0</v>
      </c>
      <c r="AF193" s="15">
        <f t="shared" si="74"/>
        <v>0</v>
      </c>
      <c r="AG193" s="15">
        <f t="shared" si="74"/>
        <v>0</v>
      </c>
      <c r="AH193" s="27">
        <f t="shared" si="75"/>
        <v>0</v>
      </c>
    </row>
    <row r="194" spans="1:34" x14ac:dyDescent="0.25">
      <c r="A194" s="31" t="s">
        <v>269</v>
      </c>
      <c r="B194" s="31" t="s">
        <v>270</v>
      </c>
      <c r="C194" s="64">
        <v>0</v>
      </c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2">
        <f t="shared" si="71"/>
        <v>0</v>
      </c>
      <c r="Q194" s="2">
        <f t="shared" si="72"/>
        <v>0</v>
      </c>
      <c r="R194" s="15"/>
      <c r="S194" s="15" t="s">
        <v>16</v>
      </c>
      <c r="T194" s="15">
        <f t="shared" ref="T194:Y194" si="80">-$Q194*T5</f>
        <v>0</v>
      </c>
      <c r="U194" s="15">
        <f t="shared" si="80"/>
        <v>0</v>
      </c>
      <c r="V194" s="15">
        <f t="shared" si="80"/>
        <v>0</v>
      </c>
      <c r="W194" s="15">
        <f t="shared" si="80"/>
        <v>0</v>
      </c>
      <c r="X194" s="15">
        <f t="shared" si="80"/>
        <v>0</v>
      </c>
      <c r="Y194" s="15">
        <f t="shared" si="80"/>
        <v>0</v>
      </c>
      <c r="Z194" s="15"/>
      <c r="AA194" s="15" t="s">
        <v>16</v>
      </c>
      <c r="AB194" s="15">
        <f t="shared" si="74"/>
        <v>0</v>
      </c>
      <c r="AC194" s="15">
        <f t="shared" si="74"/>
        <v>0</v>
      </c>
      <c r="AD194" s="15">
        <f t="shared" si="74"/>
        <v>0</v>
      </c>
      <c r="AE194" s="15">
        <f t="shared" si="74"/>
        <v>0</v>
      </c>
      <c r="AF194" s="15">
        <f t="shared" si="74"/>
        <v>0</v>
      </c>
      <c r="AG194" s="15">
        <f t="shared" si="74"/>
        <v>0</v>
      </c>
      <c r="AH194" s="27">
        <f t="shared" si="75"/>
        <v>0</v>
      </c>
    </row>
    <row r="195" spans="1:34" x14ac:dyDescent="0.25">
      <c r="A195" s="35"/>
      <c r="B195" s="35"/>
      <c r="C195" s="36" t="s">
        <v>67</v>
      </c>
      <c r="D195" s="36" t="s">
        <v>67</v>
      </c>
      <c r="E195" s="36" t="s">
        <v>67</v>
      </c>
      <c r="F195" s="36" t="s">
        <v>67</v>
      </c>
      <c r="G195" s="36" t="s">
        <v>67</v>
      </c>
      <c r="H195" s="36" t="s">
        <v>67</v>
      </c>
      <c r="I195" s="36" t="s">
        <v>67</v>
      </c>
      <c r="J195" s="36" t="s">
        <v>67</v>
      </c>
      <c r="K195" s="36" t="s">
        <v>67</v>
      </c>
      <c r="L195" s="36" t="s">
        <v>67</v>
      </c>
      <c r="M195" s="36" t="s">
        <v>67</v>
      </c>
      <c r="N195" s="36" t="s">
        <v>67</v>
      </c>
      <c r="O195" s="36" t="s">
        <v>67</v>
      </c>
      <c r="P195" s="36" t="s">
        <v>67</v>
      </c>
      <c r="Q195" s="36" t="s">
        <v>67</v>
      </c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27"/>
    </row>
    <row r="196" spans="1:34" x14ac:dyDescent="0.25">
      <c r="A196" s="37" t="s">
        <v>271</v>
      </c>
      <c r="B196" s="38"/>
      <c r="C196" s="161">
        <f>SUM(C189:C194)</f>
        <v>-1545175</v>
      </c>
      <c r="D196" s="39">
        <f t="shared" ref="D196:Q196" si="81">SUM(D189:D194)</f>
        <v>-1541373.22</v>
      </c>
      <c r="E196" s="39">
        <f t="shared" si="81"/>
        <v>-1546398.4281153365</v>
      </c>
      <c r="F196" s="39">
        <f t="shared" si="81"/>
        <v>-1545174.97</v>
      </c>
      <c r="G196" s="39">
        <f t="shared" si="81"/>
        <v>-1550451.4385211067</v>
      </c>
      <c r="H196" s="39">
        <f t="shared" si="81"/>
        <v>-1555979.1674479751</v>
      </c>
      <c r="I196" s="39">
        <f t="shared" si="81"/>
        <v>-1545174.97</v>
      </c>
      <c r="J196" s="39">
        <f t="shared" si="81"/>
        <v>-1550555.0973597553</v>
      </c>
      <c r="K196" s="39">
        <f t="shared" si="81"/>
        <v>-1556447.6178013978</v>
      </c>
      <c r="L196" s="39">
        <f t="shared" si="81"/>
        <v>-1545174.97</v>
      </c>
      <c r="M196" s="39">
        <f t="shared" si="81"/>
        <v>-1550555.0973597553</v>
      </c>
      <c r="N196" s="39">
        <f t="shared" si="81"/>
        <v>-11016.451260446338</v>
      </c>
      <c r="O196" s="39">
        <f t="shared" si="81"/>
        <v>0</v>
      </c>
      <c r="P196" s="39">
        <f t="shared" si="81"/>
        <v>-17043476.427865773</v>
      </c>
      <c r="Q196" s="39">
        <f t="shared" si="81"/>
        <v>-1311036.6482973669</v>
      </c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27"/>
    </row>
    <row r="197" spans="1:34" x14ac:dyDescent="0.25">
      <c r="A197" s="35"/>
      <c r="B197" s="35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27"/>
    </row>
    <row r="198" spans="1:34" x14ac:dyDescent="0.25">
      <c r="A198" s="37" t="s">
        <v>272</v>
      </c>
      <c r="B198" s="38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27"/>
    </row>
    <row r="199" spans="1:34" x14ac:dyDescent="0.25">
      <c r="A199" s="31" t="s">
        <v>273</v>
      </c>
      <c r="B199" s="31" t="s">
        <v>274</v>
      </c>
      <c r="C199" s="64">
        <v>474927</v>
      </c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2">
        <f t="shared" ref="P199:P202" si="82">SUM(C199:O199)</f>
        <v>474927</v>
      </c>
      <c r="Q199" s="2">
        <f t="shared" ref="Q199:Q202" si="83">P199/13</f>
        <v>36532.846153846156</v>
      </c>
      <c r="R199" s="15">
        <f>SUM(T199:Y199)+Q199</f>
        <v>0</v>
      </c>
      <c r="S199" s="15" t="s">
        <v>34</v>
      </c>
      <c r="T199" s="15">
        <f t="shared" ref="T199:Y202" si="84">-$Q199*T$7</f>
        <v>-7014.3064615384619</v>
      </c>
      <c r="U199" s="15">
        <f t="shared" si="84"/>
        <v>-14470.660361538463</v>
      </c>
      <c r="V199" s="15">
        <f t="shared" si="84"/>
        <v>-5004.9999230769236</v>
      </c>
      <c r="W199" s="15">
        <f t="shared" si="84"/>
        <v>-116.90510769230771</v>
      </c>
      <c r="X199" s="15">
        <f t="shared" si="84"/>
        <v>-80.372261538461544</v>
      </c>
      <c r="Y199" s="15">
        <f t="shared" si="84"/>
        <v>-9845.6020384615404</v>
      </c>
      <c r="Z199" s="15"/>
      <c r="AA199" s="15" t="s">
        <v>34</v>
      </c>
      <c r="AB199" s="15">
        <f>-$O199*AB$7</f>
        <v>0</v>
      </c>
      <c r="AC199" s="15">
        <f t="shared" ref="AC199:AG202" si="85">-$O199*AC$7</f>
        <v>0</v>
      </c>
      <c r="AD199" s="15">
        <f t="shared" si="85"/>
        <v>0</v>
      </c>
      <c r="AE199" s="15">
        <f t="shared" si="85"/>
        <v>0</v>
      </c>
      <c r="AF199" s="15">
        <f t="shared" si="85"/>
        <v>0</v>
      </c>
      <c r="AG199" s="15">
        <f t="shared" si="85"/>
        <v>0</v>
      </c>
      <c r="AH199" s="27">
        <f>SUM(AB199:AG199)+O199</f>
        <v>0</v>
      </c>
    </row>
    <row r="200" spans="1:34" x14ac:dyDescent="0.25">
      <c r="A200" s="31" t="s">
        <v>275</v>
      </c>
      <c r="B200" s="31" t="s">
        <v>276</v>
      </c>
      <c r="C200" s="64">
        <v>269029</v>
      </c>
      <c r="D200" s="144">
        <v>843156.12</v>
      </c>
      <c r="E200" s="144">
        <v>843156.12</v>
      </c>
      <c r="F200" s="144">
        <v>843156.12</v>
      </c>
      <c r="G200" s="144">
        <v>843156.12</v>
      </c>
      <c r="H200" s="144">
        <v>843156.12</v>
      </c>
      <c r="I200" s="144">
        <v>843156.12</v>
      </c>
      <c r="J200" s="144">
        <v>843156.12</v>
      </c>
      <c r="K200" s="144">
        <v>843156.12</v>
      </c>
      <c r="L200" s="144">
        <v>843156.12</v>
      </c>
      <c r="M200" s="144">
        <v>843156.12</v>
      </c>
      <c r="N200" s="144">
        <v>843156.12</v>
      </c>
      <c r="O200" s="144">
        <v>843156.12</v>
      </c>
      <c r="P200" s="2">
        <f t="shared" si="82"/>
        <v>10386902.439999999</v>
      </c>
      <c r="Q200" s="2">
        <f t="shared" si="83"/>
        <v>798992.49538461538</v>
      </c>
      <c r="R200" s="15">
        <f>SUM(T200:Y200)+Q200</f>
        <v>0</v>
      </c>
      <c r="S200" s="15" t="s">
        <v>34</v>
      </c>
      <c r="T200" s="15">
        <f t="shared" si="84"/>
        <v>-153406.55911384616</v>
      </c>
      <c r="U200" s="15">
        <f t="shared" si="84"/>
        <v>-316480.92742184614</v>
      </c>
      <c r="V200" s="15">
        <f t="shared" si="84"/>
        <v>-109461.97186769232</v>
      </c>
      <c r="W200" s="15">
        <f t="shared" si="84"/>
        <v>-2556.7759852307695</v>
      </c>
      <c r="X200" s="15">
        <f t="shared" si="84"/>
        <v>-1757.783489846154</v>
      </c>
      <c r="Y200" s="15">
        <f t="shared" si="84"/>
        <v>-215328.47750615387</v>
      </c>
      <c r="Z200" s="15"/>
      <c r="AA200" s="15" t="s">
        <v>34</v>
      </c>
      <c r="AB200" s="15">
        <f>-$O200*AB$7</f>
        <v>-161885.97503999999</v>
      </c>
      <c r="AC200" s="15">
        <f t="shared" si="85"/>
        <v>-333974.13913199998</v>
      </c>
      <c r="AD200" s="15">
        <f t="shared" si="85"/>
        <v>-115512.38844000001</v>
      </c>
      <c r="AE200" s="15">
        <f t="shared" si="85"/>
        <v>-2698.099584</v>
      </c>
      <c r="AF200" s="15">
        <f t="shared" si="85"/>
        <v>-1854.9434640000002</v>
      </c>
      <c r="AG200" s="15">
        <f t="shared" si="85"/>
        <v>-227230.57434000002</v>
      </c>
      <c r="AH200" s="27">
        <f>SUM(AB200:AG200)+O200</f>
        <v>0</v>
      </c>
    </row>
    <row r="201" spans="1:34" x14ac:dyDescent="0.25">
      <c r="A201" s="31" t="s">
        <v>277</v>
      </c>
      <c r="B201" s="31" t="s">
        <v>278</v>
      </c>
      <c r="C201" s="64">
        <v>0</v>
      </c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2">
        <f t="shared" si="82"/>
        <v>0</v>
      </c>
      <c r="Q201" s="2">
        <f t="shared" si="83"/>
        <v>0</v>
      </c>
      <c r="R201" s="15">
        <f>SUM(T201:Y201)+Q201</f>
        <v>0</v>
      </c>
      <c r="S201" s="15" t="s">
        <v>34</v>
      </c>
      <c r="T201" s="15">
        <f t="shared" si="84"/>
        <v>0</v>
      </c>
      <c r="U201" s="15">
        <f t="shared" si="84"/>
        <v>0</v>
      </c>
      <c r="V201" s="15">
        <f t="shared" si="84"/>
        <v>0</v>
      </c>
      <c r="W201" s="15">
        <f t="shared" si="84"/>
        <v>0</v>
      </c>
      <c r="X201" s="15">
        <f t="shared" si="84"/>
        <v>0</v>
      </c>
      <c r="Y201" s="15">
        <f t="shared" si="84"/>
        <v>0</v>
      </c>
      <c r="Z201" s="15"/>
      <c r="AA201" s="15" t="s">
        <v>34</v>
      </c>
      <c r="AB201" s="15">
        <f>-$O201*AB$7</f>
        <v>0</v>
      </c>
      <c r="AC201" s="15">
        <f t="shared" si="85"/>
        <v>0</v>
      </c>
      <c r="AD201" s="15">
        <f t="shared" si="85"/>
        <v>0</v>
      </c>
      <c r="AE201" s="15">
        <f t="shared" si="85"/>
        <v>0</v>
      </c>
      <c r="AF201" s="15">
        <f t="shared" si="85"/>
        <v>0</v>
      </c>
      <c r="AG201" s="15">
        <f t="shared" si="85"/>
        <v>0</v>
      </c>
      <c r="AH201" s="27"/>
    </row>
    <row r="202" spans="1:34" x14ac:dyDescent="0.25">
      <c r="A202" s="31" t="s">
        <v>279</v>
      </c>
      <c r="B202" s="31" t="s">
        <v>280</v>
      </c>
      <c r="C202" s="64">
        <v>0</v>
      </c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2">
        <f t="shared" si="82"/>
        <v>0</v>
      </c>
      <c r="Q202" s="2">
        <f t="shared" si="83"/>
        <v>0</v>
      </c>
      <c r="R202" s="15">
        <f>SUM(T202:Y202)+Q202</f>
        <v>0</v>
      </c>
      <c r="S202" s="15" t="s">
        <v>34</v>
      </c>
      <c r="T202" s="15">
        <f t="shared" si="84"/>
        <v>0</v>
      </c>
      <c r="U202" s="15">
        <f t="shared" si="84"/>
        <v>0</v>
      </c>
      <c r="V202" s="15">
        <f t="shared" si="84"/>
        <v>0</v>
      </c>
      <c r="W202" s="15">
        <f t="shared" si="84"/>
        <v>0</v>
      </c>
      <c r="X202" s="15">
        <f t="shared" si="84"/>
        <v>0</v>
      </c>
      <c r="Y202" s="15">
        <f t="shared" si="84"/>
        <v>0</v>
      </c>
      <c r="Z202" s="15"/>
      <c r="AA202" s="15" t="s">
        <v>34</v>
      </c>
      <c r="AB202" s="15">
        <f>-$O202*AB$7</f>
        <v>0</v>
      </c>
      <c r="AC202" s="15">
        <f t="shared" si="85"/>
        <v>0</v>
      </c>
      <c r="AD202" s="15">
        <f t="shared" si="85"/>
        <v>0</v>
      </c>
      <c r="AE202" s="15">
        <f t="shared" si="85"/>
        <v>0</v>
      </c>
      <c r="AF202" s="15">
        <f t="shared" si="85"/>
        <v>0</v>
      </c>
      <c r="AG202" s="15">
        <f t="shared" si="85"/>
        <v>0</v>
      </c>
      <c r="AH202" s="27"/>
    </row>
    <row r="203" spans="1:34" x14ac:dyDescent="0.25">
      <c r="A203" s="35"/>
      <c r="B203" s="35"/>
      <c r="C203" s="36" t="s">
        <v>67</v>
      </c>
      <c r="D203" s="36" t="s">
        <v>67</v>
      </c>
      <c r="E203" s="36" t="s">
        <v>67</v>
      </c>
      <c r="F203" s="36" t="s">
        <v>67</v>
      </c>
      <c r="G203" s="36" t="s">
        <v>67</v>
      </c>
      <c r="H203" s="36" t="s">
        <v>67</v>
      </c>
      <c r="I203" s="36" t="s">
        <v>67</v>
      </c>
      <c r="J203" s="36" t="s">
        <v>67</v>
      </c>
      <c r="K203" s="36" t="s">
        <v>67</v>
      </c>
      <c r="L203" s="36" t="s">
        <v>67</v>
      </c>
      <c r="M203" s="36" t="s">
        <v>67</v>
      </c>
      <c r="N203" s="36" t="s">
        <v>67</v>
      </c>
      <c r="O203" s="36" t="s">
        <v>67</v>
      </c>
      <c r="P203" s="36" t="s">
        <v>67</v>
      </c>
      <c r="Q203" s="36" t="s">
        <v>67</v>
      </c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27"/>
    </row>
    <row r="204" spans="1:34" x14ac:dyDescent="0.25">
      <c r="A204" s="37" t="s">
        <v>281</v>
      </c>
      <c r="B204" s="38"/>
      <c r="C204" s="161">
        <f>SUM(C199:C202)</f>
        <v>743956</v>
      </c>
      <c r="D204" s="39">
        <f t="shared" ref="D204:Q204" si="86">SUM(D199:D202)</f>
        <v>843156.12</v>
      </c>
      <c r="E204" s="39">
        <f t="shared" si="86"/>
        <v>843156.12</v>
      </c>
      <c r="F204" s="39">
        <f t="shared" si="86"/>
        <v>843156.12</v>
      </c>
      <c r="G204" s="39">
        <f t="shared" si="86"/>
        <v>843156.12</v>
      </c>
      <c r="H204" s="39">
        <f t="shared" si="86"/>
        <v>843156.12</v>
      </c>
      <c r="I204" s="39">
        <f t="shared" si="86"/>
        <v>843156.12</v>
      </c>
      <c r="J204" s="39">
        <f t="shared" si="86"/>
        <v>843156.12</v>
      </c>
      <c r="K204" s="39">
        <f t="shared" si="86"/>
        <v>843156.12</v>
      </c>
      <c r="L204" s="39">
        <f t="shared" si="86"/>
        <v>843156.12</v>
      </c>
      <c r="M204" s="39">
        <f t="shared" si="86"/>
        <v>843156.12</v>
      </c>
      <c r="N204" s="39">
        <f t="shared" si="86"/>
        <v>843156.12</v>
      </c>
      <c r="O204" s="39">
        <f t="shared" si="86"/>
        <v>843156.12</v>
      </c>
      <c r="P204" s="39">
        <f t="shared" si="86"/>
        <v>10861829.439999999</v>
      </c>
      <c r="Q204" s="39">
        <f t="shared" si="86"/>
        <v>835525.34153846151</v>
      </c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27"/>
    </row>
    <row r="205" spans="1:34" x14ac:dyDescent="0.25">
      <c r="A205" s="35"/>
      <c r="B205" s="35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27"/>
    </row>
    <row r="206" spans="1:34" x14ac:dyDescent="0.25">
      <c r="A206" s="37" t="s">
        <v>282</v>
      </c>
      <c r="B206" s="38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27"/>
    </row>
    <row r="207" spans="1:34" x14ac:dyDescent="0.25">
      <c r="A207" s="31" t="s">
        <v>283</v>
      </c>
      <c r="B207" s="31" t="s">
        <v>284</v>
      </c>
      <c r="C207" s="64">
        <v>154852</v>
      </c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2">
        <f t="shared" ref="P207:P212" si="87">SUM(C207:O207)</f>
        <v>154852</v>
      </c>
      <c r="Q207" s="2">
        <f t="shared" ref="Q207:Q212" si="88">P207/13</f>
        <v>11911.692307692309</v>
      </c>
      <c r="R207" s="15">
        <f>SUM(T207:Y207)+Q207</f>
        <v>0</v>
      </c>
      <c r="S207" s="15" t="s">
        <v>34</v>
      </c>
      <c r="T207" s="15">
        <f t="shared" ref="T207:Y212" si="89">-$Q207*T$7</f>
        <v>-2287.0449230769232</v>
      </c>
      <c r="U207" s="15">
        <f t="shared" si="89"/>
        <v>-4718.2213230769239</v>
      </c>
      <c r="V207" s="15">
        <f t="shared" si="89"/>
        <v>-1631.9018461538465</v>
      </c>
      <c r="W207" s="15">
        <f t="shared" si="89"/>
        <v>-38.117415384615391</v>
      </c>
      <c r="X207" s="15">
        <f t="shared" si="89"/>
        <v>-26.205723076923082</v>
      </c>
      <c r="Y207" s="15">
        <f t="shared" si="89"/>
        <v>-3210.2010769230774</v>
      </c>
      <c r="Z207" s="15"/>
      <c r="AA207" s="15" t="s">
        <v>34</v>
      </c>
      <c r="AB207" s="15">
        <f t="shared" ref="AB207:AG212" si="90">-$O207*AB$7</f>
        <v>0</v>
      </c>
      <c r="AC207" s="15">
        <f t="shared" si="90"/>
        <v>0</v>
      </c>
      <c r="AD207" s="15">
        <f t="shared" si="90"/>
        <v>0</v>
      </c>
      <c r="AE207" s="15">
        <f t="shared" si="90"/>
        <v>0</v>
      </c>
      <c r="AF207" s="15">
        <f t="shared" si="90"/>
        <v>0</v>
      </c>
      <c r="AG207" s="15">
        <f t="shared" si="90"/>
        <v>0</v>
      </c>
      <c r="AH207" s="27">
        <f t="shared" ref="AH207:AH212" si="91">SUM(AB207:AG207)+O207</f>
        <v>0</v>
      </c>
    </row>
    <row r="208" spans="1:34" x14ac:dyDescent="0.25">
      <c r="A208" s="31" t="s">
        <v>285</v>
      </c>
      <c r="B208" s="31" t="s">
        <v>286</v>
      </c>
      <c r="C208" s="64">
        <v>161538</v>
      </c>
      <c r="D208" s="145">
        <v>843156.12</v>
      </c>
      <c r="E208" s="145">
        <v>843156.12</v>
      </c>
      <c r="F208" s="145">
        <v>843156.12</v>
      </c>
      <c r="G208" s="145">
        <v>843156.12</v>
      </c>
      <c r="H208" s="145">
        <v>843156.12</v>
      </c>
      <c r="I208" s="145">
        <v>843156.12</v>
      </c>
      <c r="J208" s="145">
        <v>843156.12</v>
      </c>
      <c r="K208" s="145">
        <v>843156.12</v>
      </c>
      <c r="L208" s="145">
        <v>843156.12</v>
      </c>
      <c r="M208" s="145">
        <v>843156.12</v>
      </c>
      <c r="N208" s="145">
        <v>843156.12</v>
      </c>
      <c r="O208" s="145">
        <v>843156.12</v>
      </c>
      <c r="P208" s="2">
        <f t="shared" si="87"/>
        <v>10279411.439999998</v>
      </c>
      <c r="Q208" s="2">
        <f t="shared" si="88"/>
        <v>790723.95692307677</v>
      </c>
      <c r="R208" s="15">
        <f>SUM(T208:Y208)+Q208</f>
        <v>0</v>
      </c>
      <c r="S208" s="15" t="s">
        <v>34</v>
      </c>
      <c r="T208" s="15">
        <f t="shared" si="89"/>
        <v>-151818.99972923074</v>
      </c>
      <c r="U208" s="15">
        <f t="shared" si="89"/>
        <v>-313205.7593372307</v>
      </c>
      <c r="V208" s="15">
        <f t="shared" si="89"/>
        <v>-108329.18209846152</v>
      </c>
      <c r="W208" s="15">
        <f t="shared" si="89"/>
        <v>-2530.3166621538458</v>
      </c>
      <c r="X208" s="15">
        <f t="shared" si="89"/>
        <v>-1739.5927052307691</v>
      </c>
      <c r="Y208" s="15">
        <f t="shared" si="89"/>
        <v>-213100.10639076922</v>
      </c>
      <c r="Z208" s="15"/>
      <c r="AA208" s="15" t="s">
        <v>34</v>
      </c>
      <c r="AB208" s="15">
        <f t="shared" si="90"/>
        <v>-161885.97503999999</v>
      </c>
      <c r="AC208" s="15">
        <f t="shared" si="90"/>
        <v>-333974.13913199998</v>
      </c>
      <c r="AD208" s="15">
        <f t="shared" si="90"/>
        <v>-115512.38844000001</v>
      </c>
      <c r="AE208" s="15">
        <f t="shared" si="90"/>
        <v>-2698.099584</v>
      </c>
      <c r="AF208" s="15">
        <f t="shared" si="90"/>
        <v>-1854.9434640000002</v>
      </c>
      <c r="AG208" s="15">
        <f t="shared" si="90"/>
        <v>-227230.57434000002</v>
      </c>
      <c r="AH208" s="27">
        <f t="shared" si="91"/>
        <v>0</v>
      </c>
    </row>
    <row r="209" spans="1:34" x14ac:dyDescent="0.25">
      <c r="A209" s="31" t="s">
        <v>287</v>
      </c>
      <c r="B209" s="31" t="s">
        <v>288</v>
      </c>
      <c r="C209" s="64">
        <v>1081</v>
      </c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2">
        <f t="shared" si="87"/>
        <v>1081</v>
      </c>
      <c r="Q209" s="2">
        <f t="shared" si="88"/>
        <v>83.15384615384616</v>
      </c>
      <c r="R209" s="15">
        <f>SUM(T209:Y209)+Q209</f>
        <v>0</v>
      </c>
      <c r="S209" s="15" t="s">
        <v>34</v>
      </c>
      <c r="T209" s="15">
        <f t="shared" si="89"/>
        <v>-15.965538461538463</v>
      </c>
      <c r="U209" s="15">
        <f t="shared" si="89"/>
        <v>-32.937238461538463</v>
      </c>
      <c r="V209" s="15">
        <f t="shared" si="89"/>
        <v>-11.392076923076925</v>
      </c>
      <c r="W209" s="15">
        <f t="shared" si="89"/>
        <v>-0.26609230769230774</v>
      </c>
      <c r="X209" s="15">
        <f t="shared" si="89"/>
        <v>-0.18293846153846158</v>
      </c>
      <c r="Y209" s="15">
        <f t="shared" si="89"/>
        <v>-22.409961538461541</v>
      </c>
      <c r="Z209" s="15"/>
      <c r="AA209" s="15" t="s">
        <v>34</v>
      </c>
      <c r="AB209" s="15">
        <f t="shared" si="90"/>
        <v>0</v>
      </c>
      <c r="AC209" s="15">
        <f t="shared" si="90"/>
        <v>0</v>
      </c>
      <c r="AD209" s="15">
        <f t="shared" si="90"/>
        <v>0</v>
      </c>
      <c r="AE209" s="15">
        <f t="shared" si="90"/>
        <v>0</v>
      </c>
      <c r="AF209" s="15">
        <f t="shared" si="90"/>
        <v>0</v>
      </c>
      <c r="AG209" s="15">
        <f t="shared" si="90"/>
        <v>0</v>
      </c>
      <c r="AH209" s="27">
        <f t="shared" si="91"/>
        <v>0</v>
      </c>
    </row>
    <row r="210" spans="1:34" x14ac:dyDescent="0.25">
      <c r="A210" s="31" t="s">
        <v>289</v>
      </c>
      <c r="B210" s="31" t="s">
        <v>290</v>
      </c>
      <c r="C210" s="64">
        <v>-10</v>
      </c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2">
        <f t="shared" si="87"/>
        <v>-10</v>
      </c>
      <c r="Q210" s="2">
        <f t="shared" si="88"/>
        <v>-0.76923076923076927</v>
      </c>
      <c r="R210" s="15">
        <f>SUM(T210:Y210)+Q210</f>
        <v>0</v>
      </c>
      <c r="S210" s="15" t="s">
        <v>34</v>
      </c>
      <c r="T210" s="15">
        <f t="shared" si="89"/>
        <v>0.14769230769230771</v>
      </c>
      <c r="U210" s="15">
        <f t="shared" si="89"/>
        <v>0.30469230769230771</v>
      </c>
      <c r="V210" s="15">
        <f t="shared" si="89"/>
        <v>0.1053846153846154</v>
      </c>
      <c r="W210" s="15">
        <f t="shared" si="89"/>
        <v>2.4615384615384616E-3</v>
      </c>
      <c r="X210" s="15">
        <f t="shared" si="89"/>
        <v>1.6923076923076926E-3</v>
      </c>
      <c r="Y210" s="15">
        <f t="shared" si="89"/>
        <v>0.20730769230769233</v>
      </c>
      <c r="Z210" s="15"/>
      <c r="AA210" s="15" t="s">
        <v>34</v>
      </c>
      <c r="AB210" s="15">
        <f t="shared" si="90"/>
        <v>0</v>
      </c>
      <c r="AC210" s="15">
        <f t="shared" si="90"/>
        <v>0</v>
      </c>
      <c r="AD210" s="15">
        <f t="shared" si="90"/>
        <v>0</v>
      </c>
      <c r="AE210" s="15">
        <f t="shared" si="90"/>
        <v>0</v>
      </c>
      <c r="AF210" s="15">
        <f t="shared" si="90"/>
        <v>0</v>
      </c>
      <c r="AG210" s="15">
        <f t="shared" si="90"/>
        <v>0</v>
      </c>
      <c r="AH210" s="27">
        <f t="shared" si="91"/>
        <v>0</v>
      </c>
    </row>
    <row r="211" spans="1:34" x14ac:dyDescent="0.25">
      <c r="A211" s="31" t="s">
        <v>291</v>
      </c>
      <c r="B211" s="31" t="s">
        <v>292</v>
      </c>
      <c r="C211" s="64">
        <v>-9971</v>
      </c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2">
        <f t="shared" si="87"/>
        <v>-9971</v>
      </c>
      <c r="Q211" s="2">
        <f t="shared" si="88"/>
        <v>-767</v>
      </c>
      <c r="R211" s="15">
        <f>SUM(T211:Y211)+Q211</f>
        <v>0</v>
      </c>
      <c r="S211" s="15" t="s">
        <v>34</v>
      </c>
      <c r="T211" s="15">
        <f t="shared" si="89"/>
        <v>147.26400000000001</v>
      </c>
      <c r="U211" s="15">
        <f t="shared" si="89"/>
        <v>303.80869999999999</v>
      </c>
      <c r="V211" s="15">
        <f t="shared" si="89"/>
        <v>105.07900000000001</v>
      </c>
      <c r="W211" s="15">
        <f t="shared" si="89"/>
        <v>2.4544000000000001</v>
      </c>
      <c r="X211" s="15">
        <f t="shared" si="89"/>
        <v>1.6874</v>
      </c>
      <c r="Y211" s="15">
        <f t="shared" si="89"/>
        <v>206.70650000000001</v>
      </c>
      <c r="Z211" s="15"/>
      <c r="AA211" s="15" t="s">
        <v>34</v>
      </c>
      <c r="AB211" s="15">
        <f t="shared" si="90"/>
        <v>0</v>
      </c>
      <c r="AC211" s="15">
        <f t="shared" si="90"/>
        <v>0</v>
      </c>
      <c r="AD211" s="15">
        <f t="shared" si="90"/>
        <v>0</v>
      </c>
      <c r="AE211" s="15">
        <f t="shared" si="90"/>
        <v>0</v>
      </c>
      <c r="AF211" s="15">
        <f t="shared" si="90"/>
        <v>0</v>
      </c>
      <c r="AG211" s="15">
        <f t="shared" si="90"/>
        <v>0</v>
      </c>
      <c r="AH211" s="27">
        <f t="shared" si="91"/>
        <v>0</v>
      </c>
    </row>
    <row r="212" spans="1:34" x14ac:dyDescent="0.25">
      <c r="A212" s="31" t="s">
        <v>293</v>
      </c>
      <c r="B212" s="31" t="s">
        <v>294</v>
      </c>
      <c r="C212" s="64">
        <v>-1269</v>
      </c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2">
        <f t="shared" si="87"/>
        <v>-1269</v>
      </c>
      <c r="Q212" s="2">
        <f t="shared" si="88"/>
        <v>-97.615384615384613</v>
      </c>
      <c r="R212" s="15"/>
      <c r="S212" s="15" t="s">
        <v>34</v>
      </c>
      <c r="T212" s="15">
        <f t="shared" si="89"/>
        <v>18.742153846153847</v>
      </c>
      <c r="U212" s="15">
        <f t="shared" si="89"/>
        <v>38.665453846153845</v>
      </c>
      <c r="V212" s="15">
        <f t="shared" si="89"/>
        <v>13.373307692307693</v>
      </c>
      <c r="W212" s="15">
        <f t="shared" si="89"/>
        <v>0.31236923076923079</v>
      </c>
      <c r="X212" s="15">
        <f t="shared" si="89"/>
        <v>0.21475384615384616</v>
      </c>
      <c r="Y212" s="15">
        <f t="shared" si="89"/>
        <v>26.307346153846154</v>
      </c>
      <c r="Z212" s="15"/>
      <c r="AA212" s="15" t="s">
        <v>34</v>
      </c>
      <c r="AB212" s="15">
        <f t="shared" si="90"/>
        <v>0</v>
      </c>
      <c r="AC212" s="15">
        <f t="shared" si="90"/>
        <v>0</v>
      </c>
      <c r="AD212" s="15">
        <f t="shared" si="90"/>
        <v>0</v>
      </c>
      <c r="AE212" s="15">
        <f t="shared" si="90"/>
        <v>0</v>
      </c>
      <c r="AF212" s="15">
        <f t="shared" si="90"/>
        <v>0</v>
      </c>
      <c r="AG212" s="15">
        <f t="shared" si="90"/>
        <v>0</v>
      </c>
      <c r="AH212" s="27">
        <f t="shared" si="91"/>
        <v>0</v>
      </c>
    </row>
    <row r="213" spans="1:34" x14ac:dyDescent="0.25">
      <c r="A213" s="35"/>
      <c r="B213" s="35"/>
      <c r="C213" s="36" t="s">
        <v>67</v>
      </c>
      <c r="D213" s="36" t="s">
        <v>67</v>
      </c>
      <c r="E213" s="36" t="s">
        <v>67</v>
      </c>
      <c r="F213" s="36" t="s">
        <v>67</v>
      </c>
      <c r="G213" s="36" t="s">
        <v>67</v>
      </c>
      <c r="H213" s="36" t="s">
        <v>67</v>
      </c>
      <c r="I213" s="36" t="s">
        <v>67</v>
      </c>
      <c r="J213" s="36" t="s">
        <v>67</v>
      </c>
      <c r="K213" s="36" t="s">
        <v>67</v>
      </c>
      <c r="L213" s="36" t="s">
        <v>67</v>
      </c>
      <c r="M213" s="36" t="s">
        <v>67</v>
      </c>
      <c r="N213" s="36" t="s">
        <v>67</v>
      </c>
      <c r="O213" s="36" t="s">
        <v>67</v>
      </c>
      <c r="P213" s="36" t="s">
        <v>67</v>
      </c>
      <c r="Q213" s="36" t="s">
        <v>67</v>
      </c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27"/>
    </row>
    <row r="214" spans="1:34" x14ac:dyDescent="0.25">
      <c r="A214" s="37" t="s">
        <v>295</v>
      </c>
      <c r="B214" s="38"/>
      <c r="C214" s="39">
        <f>SUM(C207:C212)</f>
        <v>306221</v>
      </c>
      <c r="D214" s="39">
        <f t="shared" ref="D214:Q214" si="92">SUM(D207:D212)</f>
        <v>843156.12</v>
      </c>
      <c r="E214" s="39">
        <f t="shared" si="92"/>
        <v>843156.12</v>
      </c>
      <c r="F214" s="39">
        <f t="shared" si="92"/>
        <v>843156.12</v>
      </c>
      <c r="G214" s="39">
        <f t="shared" si="92"/>
        <v>843156.12</v>
      </c>
      <c r="H214" s="39">
        <f t="shared" si="92"/>
        <v>843156.12</v>
      </c>
      <c r="I214" s="39">
        <f t="shared" si="92"/>
        <v>843156.12</v>
      </c>
      <c r="J214" s="39">
        <f t="shared" si="92"/>
        <v>843156.12</v>
      </c>
      <c r="K214" s="39">
        <f t="shared" si="92"/>
        <v>843156.12</v>
      </c>
      <c r="L214" s="39">
        <f t="shared" si="92"/>
        <v>843156.12</v>
      </c>
      <c r="M214" s="39">
        <f t="shared" si="92"/>
        <v>843156.12</v>
      </c>
      <c r="N214" s="39">
        <f t="shared" si="92"/>
        <v>843156.12</v>
      </c>
      <c r="O214" s="39">
        <f t="shared" si="92"/>
        <v>843156.12</v>
      </c>
      <c r="P214" s="39">
        <f t="shared" si="92"/>
        <v>10424094.439999998</v>
      </c>
      <c r="Q214" s="39">
        <f t="shared" si="92"/>
        <v>801853.41846153827</v>
      </c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27"/>
    </row>
    <row r="215" spans="1:34" x14ac:dyDescent="0.25">
      <c r="A215" s="35"/>
      <c r="B215" s="35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27"/>
    </row>
    <row r="216" spans="1:34" ht="15.75" x14ac:dyDescent="0.3">
      <c r="A216" s="56" t="s">
        <v>296</v>
      </c>
      <c r="B216" s="54"/>
      <c r="C216" s="55">
        <f>C214+C204+C196+C186+C180</f>
        <v>3779073</v>
      </c>
      <c r="D216" s="55">
        <f t="shared" ref="D216:Q216" si="93">D214+D204+D196+D186+D180</f>
        <v>6159266.1300000008</v>
      </c>
      <c r="E216" s="55">
        <f t="shared" si="93"/>
        <v>5372399.2977179941</v>
      </c>
      <c r="F216" s="55">
        <f t="shared" si="93"/>
        <v>5373622.7558333296</v>
      </c>
      <c r="G216" s="55">
        <f t="shared" si="93"/>
        <v>5368346.2873122236</v>
      </c>
      <c r="H216" s="55">
        <f t="shared" si="93"/>
        <v>5362818.5583853554</v>
      </c>
      <c r="I216" s="55">
        <f t="shared" si="93"/>
        <v>5373622.7558333296</v>
      </c>
      <c r="J216" s="55">
        <f t="shared" si="93"/>
        <v>5368242.6284735743</v>
      </c>
      <c r="K216" s="55">
        <f t="shared" si="93"/>
        <v>5362350.1080319323</v>
      </c>
      <c r="L216" s="55">
        <f t="shared" si="93"/>
        <v>5373622.7558333296</v>
      </c>
      <c r="M216" s="55">
        <f t="shared" si="93"/>
        <v>5368242.6284735743</v>
      </c>
      <c r="N216" s="55">
        <f t="shared" si="93"/>
        <v>6907781.2745728837</v>
      </c>
      <c r="O216" s="55">
        <f t="shared" si="93"/>
        <v>6918797.7258333303</v>
      </c>
      <c r="P216" s="55">
        <f t="shared" si="93"/>
        <v>72088185.906300873</v>
      </c>
      <c r="Q216" s="55">
        <f t="shared" si="93"/>
        <v>5545245.0697154524</v>
      </c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27"/>
    </row>
    <row r="217" spans="1:34" x14ac:dyDescent="0.25">
      <c r="A217" s="35"/>
      <c r="B217" s="35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27"/>
    </row>
    <row r="218" spans="1:34" ht="15.75" x14ac:dyDescent="0.3">
      <c r="A218" s="56" t="s">
        <v>297</v>
      </c>
      <c r="B218" s="54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27"/>
    </row>
    <row r="219" spans="1:34" x14ac:dyDescent="0.25">
      <c r="A219" s="37" t="s">
        <v>298</v>
      </c>
      <c r="B219" s="38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15"/>
      <c r="S219" s="15" t="s">
        <v>299</v>
      </c>
      <c r="T219" s="15"/>
      <c r="U219" s="15"/>
      <c r="V219" s="15"/>
      <c r="W219" s="15"/>
      <c r="X219" s="15"/>
      <c r="Y219" s="15"/>
      <c r="Z219" s="15"/>
      <c r="AA219" s="15" t="s">
        <v>299</v>
      </c>
      <c r="AB219" s="15"/>
      <c r="AC219" s="15"/>
      <c r="AD219" s="15"/>
      <c r="AE219" s="15"/>
      <c r="AF219" s="15"/>
      <c r="AG219" s="15"/>
      <c r="AH219" s="27">
        <f>SUM(AB219:AG219)+O219</f>
        <v>0</v>
      </c>
    </row>
    <row r="220" spans="1:34" x14ac:dyDescent="0.25">
      <c r="A220" s="57" t="s">
        <v>300</v>
      </c>
      <c r="B220" s="58" t="s">
        <v>301</v>
      </c>
      <c r="C220" s="64">
        <v>478666</v>
      </c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2">
        <f t="shared" ref="P220:P235" si="94">SUM(C220:O220)</f>
        <v>478666</v>
      </c>
      <c r="Q220" s="2">
        <f t="shared" ref="Q220:Q235" si="95">P220/13</f>
        <v>36820.461538461539</v>
      </c>
      <c r="R220" s="15">
        <f t="shared" ref="R220:R232" si="96">SUM(T220:Y220)+Q220</f>
        <v>-0.7364092307689134</v>
      </c>
      <c r="S220" s="15" t="s">
        <v>13</v>
      </c>
      <c r="T220" s="60">
        <f t="shared" ref="T220:Y227" si="97">-$Q220*T$3</f>
        <v>-5970.4378384615384</v>
      </c>
      <c r="U220" s="60">
        <f t="shared" si="97"/>
        <v>-14422.942989230769</v>
      </c>
      <c r="V220" s="60">
        <f t="shared" si="97"/>
        <v>-6770.5464676923075</v>
      </c>
      <c r="W220" s="60">
        <f t="shared" si="97"/>
        <v>-130.71263846153846</v>
      </c>
      <c r="X220" s="60">
        <f t="shared" si="97"/>
        <v>-40.870712307692308</v>
      </c>
      <c r="Y220" s="60">
        <f t="shared" si="97"/>
        <v>-9485.6873015384626</v>
      </c>
      <c r="Z220" s="15"/>
      <c r="AA220" s="15" t="s">
        <v>13</v>
      </c>
      <c r="AB220" s="60">
        <f t="shared" ref="AB220:AG227" si="98">-$O220*AB$3</f>
        <v>0</v>
      </c>
      <c r="AC220" s="60">
        <v>23</v>
      </c>
      <c r="AD220" s="60">
        <f t="shared" si="98"/>
        <v>0</v>
      </c>
      <c r="AE220" s="60">
        <f t="shared" si="98"/>
        <v>0</v>
      </c>
      <c r="AF220" s="60">
        <f t="shared" si="98"/>
        <v>0</v>
      </c>
      <c r="AG220" s="60">
        <f t="shared" si="98"/>
        <v>0</v>
      </c>
      <c r="AH220" s="27">
        <f>SUM(AB220:AG220)+O220</f>
        <v>23</v>
      </c>
    </row>
    <row r="221" spans="1:34" x14ac:dyDescent="0.25">
      <c r="A221" s="31" t="s">
        <v>302</v>
      </c>
      <c r="B221" s="31" t="s">
        <v>303</v>
      </c>
      <c r="C221" s="64">
        <v>-645706</v>
      </c>
      <c r="D221" s="147">
        <v>-70615.789999999921</v>
      </c>
      <c r="E221" s="147">
        <v>-70615.789999999921</v>
      </c>
      <c r="F221" s="147">
        <v>-70615.789999999921</v>
      </c>
      <c r="G221" s="147">
        <v>-70615.789999999921</v>
      </c>
      <c r="H221" s="147">
        <v>-70615.789999999921</v>
      </c>
      <c r="I221" s="147">
        <v>-70615.789999999921</v>
      </c>
      <c r="J221" s="147">
        <v>-70615.789999999921</v>
      </c>
      <c r="K221" s="147">
        <v>-70615.789999999921</v>
      </c>
      <c r="L221" s="147">
        <v>-70615.789999999921</v>
      </c>
      <c r="M221" s="147">
        <v>-70615.789999999921</v>
      </c>
      <c r="N221" s="147">
        <v>-70615.789999999921</v>
      </c>
      <c r="O221" s="147">
        <v>-70615.789999999921</v>
      </c>
      <c r="P221" s="2">
        <f t="shared" si="94"/>
        <v>-1493095.4799999995</v>
      </c>
      <c r="Q221" s="2">
        <f t="shared" si="95"/>
        <v>-114853.49846153843</v>
      </c>
      <c r="R221" s="15">
        <f t="shared" si="96"/>
        <v>2.2970699692232301</v>
      </c>
      <c r="S221" s="15" t="s">
        <v>13</v>
      </c>
      <c r="T221" s="60">
        <f t="shared" si="97"/>
        <v>18623.494775538456</v>
      </c>
      <c r="U221" s="60">
        <f t="shared" si="97"/>
        <v>44989.263882369218</v>
      </c>
      <c r="V221" s="60">
        <f t="shared" si="97"/>
        <v>21119.261297107685</v>
      </c>
      <c r="W221" s="60">
        <f t="shared" si="97"/>
        <v>407.72991953846144</v>
      </c>
      <c r="X221" s="60">
        <f t="shared" si="97"/>
        <v>127.48738329230767</v>
      </c>
      <c r="Y221" s="60">
        <f t="shared" si="97"/>
        <v>29588.558273661532</v>
      </c>
      <c r="Z221" s="15"/>
      <c r="AA221" s="15" t="s">
        <v>13</v>
      </c>
      <c r="AB221" s="60">
        <f t="shared" si="98"/>
        <v>11450.350348499986</v>
      </c>
      <c r="AC221" s="60">
        <f t="shared" si="98"/>
        <v>27660.911100899968</v>
      </c>
      <c r="AD221" s="60">
        <f t="shared" si="98"/>
        <v>12984.831465199984</v>
      </c>
      <c r="AE221" s="60">
        <f t="shared" si="98"/>
        <v>250.68605449999973</v>
      </c>
      <c r="AF221" s="60">
        <f t="shared" si="98"/>
        <v>78.383526899999922</v>
      </c>
      <c r="AG221" s="60">
        <f t="shared" si="98"/>
        <v>18192.039819799982</v>
      </c>
      <c r="AH221" s="27"/>
    </row>
    <row r="222" spans="1:34" x14ac:dyDescent="0.25">
      <c r="A222" s="31" t="s">
        <v>304</v>
      </c>
      <c r="B222" s="31" t="s">
        <v>305</v>
      </c>
      <c r="C222" s="64">
        <v>132661</v>
      </c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2">
        <f t="shared" si="94"/>
        <v>132661</v>
      </c>
      <c r="Q222" s="2">
        <f t="shared" si="95"/>
        <v>10204.692307692309</v>
      </c>
      <c r="R222" s="15">
        <f t="shared" si="96"/>
        <v>-0.20409384615413728</v>
      </c>
      <c r="S222" s="15" t="s">
        <v>13</v>
      </c>
      <c r="T222" s="60">
        <f t="shared" si="97"/>
        <v>-1654.6908576923076</v>
      </c>
      <c r="U222" s="60">
        <f t="shared" si="97"/>
        <v>-3997.2800238461541</v>
      </c>
      <c r="V222" s="60">
        <f t="shared" si="97"/>
        <v>-1876.4388215384615</v>
      </c>
      <c r="W222" s="60">
        <f t="shared" si="97"/>
        <v>-36.226657692307697</v>
      </c>
      <c r="X222" s="60">
        <f t="shared" si="97"/>
        <v>-11.327208461538463</v>
      </c>
      <c r="Y222" s="60">
        <f t="shared" si="97"/>
        <v>-2628.9328323076925</v>
      </c>
      <c r="Z222" s="15"/>
      <c r="AA222" s="15" t="s">
        <v>13</v>
      </c>
      <c r="AB222" s="60">
        <f t="shared" si="98"/>
        <v>0</v>
      </c>
      <c r="AC222" s="60">
        <f t="shared" si="98"/>
        <v>0</v>
      </c>
      <c r="AD222" s="60">
        <f t="shared" si="98"/>
        <v>0</v>
      </c>
      <c r="AE222" s="60">
        <f t="shared" si="98"/>
        <v>0</v>
      </c>
      <c r="AF222" s="60">
        <f t="shared" si="98"/>
        <v>0</v>
      </c>
      <c r="AG222" s="60">
        <f t="shared" si="98"/>
        <v>0</v>
      </c>
      <c r="AH222" s="27">
        <f t="shared" ref="AH222:AH232" si="99">SUM(AB222:AG222)+O222</f>
        <v>0</v>
      </c>
    </row>
    <row r="223" spans="1:34" x14ac:dyDescent="0.25">
      <c r="A223" s="31" t="s">
        <v>306</v>
      </c>
      <c r="B223" s="31" t="s">
        <v>307</v>
      </c>
      <c r="C223" s="64">
        <v>-178954</v>
      </c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2">
        <f t="shared" si="94"/>
        <v>-178954</v>
      </c>
      <c r="Q223" s="2">
        <f t="shared" si="95"/>
        <v>-13765.692307692309</v>
      </c>
      <c r="R223" s="15">
        <f t="shared" si="96"/>
        <v>0.27531384615213028</v>
      </c>
      <c r="S223" s="15" t="s">
        <v>13</v>
      </c>
      <c r="T223" s="60">
        <f t="shared" si="97"/>
        <v>2232.1070076923079</v>
      </c>
      <c r="U223" s="60">
        <f t="shared" si="97"/>
        <v>5392.1593338461544</v>
      </c>
      <c r="V223" s="60">
        <f t="shared" si="97"/>
        <v>2531.2355015384614</v>
      </c>
      <c r="W223" s="60">
        <f t="shared" si="97"/>
        <v>48.868207692307699</v>
      </c>
      <c r="X223" s="60">
        <f t="shared" si="97"/>
        <v>15.279918461538463</v>
      </c>
      <c r="Y223" s="60">
        <f t="shared" si="97"/>
        <v>3546.3176523076927</v>
      </c>
      <c r="Z223" s="15"/>
      <c r="AA223" s="15" t="s">
        <v>13</v>
      </c>
      <c r="AB223" s="60">
        <f t="shared" si="98"/>
        <v>0</v>
      </c>
      <c r="AC223" s="60">
        <f t="shared" si="98"/>
        <v>0</v>
      </c>
      <c r="AD223" s="60">
        <f t="shared" si="98"/>
        <v>0</v>
      </c>
      <c r="AE223" s="60">
        <f t="shared" si="98"/>
        <v>0</v>
      </c>
      <c r="AF223" s="60">
        <f t="shared" si="98"/>
        <v>0</v>
      </c>
      <c r="AG223" s="60">
        <f t="shared" si="98"/>
        <v>0</v>
      </c>
      <c r="AH223" s="27">
        <f t="shared" si="99"/>
        <v>0</v>
      </c>
    </row>
    <row r="224" spans="1:34" x14ac:dyDescent="0.25">
      <c r="A224" s="31" t="s">
        <v>308</v>
      </c>
      <c r="B224" s="31" t="s">
        <v>309</v>
      </c>
      <c r="C224" s="64">
        <v>0</v>
      </c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2">
        <f t="shared" si="94"/>
        <v>0</v>
      </c>
      <c r="Q224" s="2">
        <f t="shared" si="95"/>
        <v>0</v>
      </c>
      <c r="R224" s="15">
        <f t="shared" si="96"/>
        <v>0</v>
      </c>
      <c r="S224" s="15" t="s">
        <v>13</v>
      </c>
      <c r="T224" s="60">
        <f t="shared" si="97"/>
        <v>0</v>
      </c>
      <c r="U224" s="60">
        <f t="shared" si="97"/>
        <v>0</v>
      </c>
      <c r="V224" s="60">
        <f t="shared" si="97"/>
        <v>0</v>
      </c>
      <c r="W224" s="60">
        <f t="shared" si="97"/>
        <v>0</v>
      </c>
      <c r="X224" s="60">
        <f t="shared" si="97"/>
        <v>0</v>
      </c>
      <c r="Y224" s="60">
        <f t="shared" si="97"/>
        <v>0</v>
      </c>
      <c r="Z224" s="15"/>
      <c r="AA224" s="15" t="s">
        <v>13</v>
      </c>
      <c r="AB224" s="60">
        <f t="shared" si="98"/>
        <v>0</v>
      </c>
      <c r="AC224" s="60">
        <f t="shared" si="98"/>
        <v>0</v>
      </c>
      <c r="AD224" s="60">
        <f t="shared" si="98"/>
        <v>0</v>
      </c>
      <c r="AE224" s="60">
        <f t="shared" si="98"/>
        <v>0</v>
      </c>
      <c r="AF224" s="60">
        <f t="shared" si="98"/>
        <v>0</v>
      </c>
      <c r="AG224" s="60">
        <f t="shared" si="98"/>
        <v>0</v>
      </c>
      <c r="AH224" s="27">
        <f t="shared" si="99"/>
        <v>0</v>
      </c>
    </row>
    <row r="225" spans="1:34" x14ac:dyDescent="0.25">
      <c r="A225" s="31" t="s">
        <v>310</v>
      </c>
      <c r="B225" s="31" t="s">
        <v>311</v>
      </c>
      <c r="C225" s="64">
        <v>0</v>
      </c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2">
        <f t="shared" si="94"/>
        <v>0</v>
      </c>
      <c r="Q225" s="2">
        <f t="shared" si="95"/>
        <v>0</v>
      </c>
      <c r="R225" s="15">
        <f t="shared" si="96"/>
        <v>0</v>
      </c>
      <c r="S225" s="15" t="s">
        <v>13</v>
      </c>
      <c r="T225" s="60">
        <f t="shared" si="97"/>
        <v>0</v>
      </c>
      <c r="U225" s="60">
        <f t="shared" si="97"/>
        <v>0</v>
      </c>
      <c r="V225" s="60">
        <f t="shared" si="97"/>
        <v>0</v>
      </c>
      <c r="W225" s="60">
        <f t="shared" si="97"/>
        <v>0</v>
      </c>
      <c r="X225" s="60">
        <f t="shared" si="97"/>
        <v>0</v>
      </c>
      <c r="Y225" s="60">
        <f t="shared" si="97"/>
        <v>0</v>
      </c>
      <c r="Z225" s="15"/>
      <c r="AA225" s="15" t="s">
        <v>13</v>
      </c>
      <c r="AB225" s="60">
        <f t="shared" si="98"/>
        <v>0</v>
      </c>
      <c r="AC225" s="60">
        <f t="shared" si="98"/>
        <v>0</v>
      </c>
      <c r="AD225" s="60">
        <f t="shared" si="98"/>
        <v>0</v>
      </c>
      <c r="AE225" s="60">
        <f t="shared" si="98"/>
        <v>0</v>
      </c>
      <c r="AF225" s="60">
        <f t="shared" si="98"/>
        <v>0</v>
      </c>
      <c r="AG225" s="60">
        <f t="shared" si="98"/>
        <v>0</v>
      </c>
      <c r="AH225" s="27">
        <f t="shared" si="99"/>
        <v>0</v>
      </c>
    </row>
    <row r="226" spans="1:34" x14ac:dyDescent="0.25">
      <c r="A226" s="31" t="s">
        <v>312</v>
      </c>
      <c r="B226" s="31" t="s">
        <v>313</v>
      </c>
      <c r="C226" s="64">
        <v>0</v>
      </c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2">
        <f t="shared" si="94"/>
        <v>0</v>
      </c>
      <c r="Q226" s="2">
        <f t="shared" si="95"/>
        <v>0</v>
      </c>
      <c r="R226" s="15">
        <f t="shared" si="96"/>
        <v>0</v>
      </c>
      <c r="S226" s="15" t="s">
        <v>13</v>
      </c>
      <c r="T226" s="60">
        <f>-$Q226*T$3</f>
        <v>0</v>
      </c>
      <c r="U226" s="60">
        <f t="shared" si="97"/>
        <v>0</v>
      </c>
      <c r="V226" s="60">
        <f t="shared" si="97"/>
        <v>0</v>
      </c>
      <c r="W226" s="60">
        <f t="shared" si="97"/>
        <v>0</v>
      </c>
      <c r="X226" s="60">
        <f t="shared" si="97"/>
        <v>0</v>
      </c>
      <c r="Y226" s="60">
        <f t="shared" si="97"/>
        <v>0</v>
      </c>
      <c r="Z226" s="15"/>
      <c r="AA226" s="15" t="s">
        <v>13</v>
      </c>
      <c r="AB226" s="60">
        <f>-$O226*AB$3</f>
        <v>0</v>
      </c>
      <c r="AC226" s="60">
        <f t="shared" si="98"/>
        <v>0</v>
      </c>
      <c r="AD226" s="60">
        <f t="shared" si="98"/>
        <v>0</v>
      </c>
      <c r="AE226" s="60">
        <f t="shared" si="98"/>
        <v>0</v>
      </c>
      <c r="AF226" s="60">
        <f t="shared" si="98"/>
        <v>0</v>
      </c>
      <c r="AG226" s="60">
        <f t="shared" si="98"/>
        <v>0</v>
      </c>
      <c r="AH226" s="27">
        <f t="shared" si="99"/>
        <v>0</v>
      </c>
    </row>
    <row r="227" spans="1:34" x14ac:dyDescent="0.25">
      <c r="A227" s="31" t="s">
        <v>314</v>
      </c>
      <c r="B227" s="31" t="s">
        <v>315</v>
      </c>
      <c r="C227" s="64">
        <v>0</v>
      </c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2">
        <f t="shared" si="94"/>
        <v>0</v>
      </c>
      <c r="Q227" s="2">
        <f t="shared" si="95"/>
        <v>0</v>
      </c>
      <c r="R227" s="15">
        <f t="shared" si="96"/>
        <v>0</v>
      </c>
      <c r="S227" s="15" t="s">
        <v>13</v>
      </c>
      <c r="T227" s="60">
        <f>-$Q227*T$3</f>
        <v>0</v>
      </c>
      <c r="U227" s="60">
        <f t="shared" si="97"/>
        <v>0</v>
      </c>
      <c r="V227" s="60">
        <f t="shared" si="97"/>
        <v>0</v>
      </c>
      <c r="W227" s="60">
        <f t="shared" si="97"/>
        <v>0</v>
      </c>
      <c r="X227" s="60">
        <f t="shared" si="97"/>
        <v>0</v>
      </c>
      <c r="Y227" s="60">
        <f t="shared" si="97"/>
        <v>0</v>
      </c>
      <c r="Z227" s="15"/>
      <c r="AA227" s="15" t="s">
        <v>13</v>
      </c>
      <c r="AB227" s="60">
        <f>-$O227*AB$3</f>
        <v>0</v>
      </c>
      <c r="AC227" s="60">
        <f t="shared" si="98"/>
        <v>0</v>
      </c>
      <c r="AD227" s="60">
        <f t="shared" si="98"/>
        <v>0</v>
      </c>
      <c r="AE227" s="60">
        <f t="shared" si="98"/>
        <v>0</v>
      </c>
      <c r="AF227" s="60">
        <f t="shared" si="98"/>
        <v>0</v>
      </c>
      <c r="AG227" s="60">
        <f t="shared" si="98"/>
        <v>0</v>
      </c>
      <c r="AH227" s="27">
        <f t="shared" si="99"/>
        <v>0</v>
      </c>
    </row>
    <row r="228" spans="1:34" x14ac:dyDescent="0.25">
      <c r="A228" s="31" t="s">
        <v>316</v>
      </c>
      <c r="B228" s="31" t="s">
        <v>317</v>
      </c>
      <c r="C228" s="64">
        <v>0</v>
      </c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2">
        <f t="shared" si="94"/>
        <v>0</v>
      </c>
      <c r="Q228" s="2">
        <f t="shared" si="95"/>
        <v>0</v>
      </c>
      <c r="R228" s="15">
        <f t="shared" si="96"/>
        <v>0</v>
      </c>
      <c r="S228" s="15" t="s">
        <v>13</v>
      </c>
      <c r="T228" s="60">
        <f t="shared" ref="T228:Y235" si="100">-$Q228*T$3</f>
        <v>0</v>
      </c>
      <c r="U228" s="60">
        <f t="shared" si="100"/>
        <v>0</v>
      </c>
      <c r="V228" s="60">
        <f t="shared" si="100"/>
        <v>0</v>
      </c>
      <c r="W228" s="60">
        <f t="shared" si="100"/>
        <v>0</v>
      </c>
      <c r="X228" s="60">
        <f t="shared" si="100"/>
        <v>0</v>
      </c>
      <c r="Y228" s="60">
        <f t="shared" si="100"/>
        <v>0</v>
      </c>
      <c r="Z228" s="15"/>
      <c r="AA228" s="15" t="s">
        <v>13</v>
      </c>
      <c r="AB228" s="60">
        <f t="shared" ref="AB228:AG235" si="101">-$O228*AB$3</f>
        <v>0</v>
      </c>
      <c r="AC228" s="60">
        <f t="shared" si="101"/>
        <v>0</v>
      </c>
      <c r="AD228" s="60">
        <f t="shared" si="101"/>
        <v>0</v>
      </c>
      <c r="AE228" s="60">
        <f t="shared" si="101"/>
        <v>0</v>
      </c>
      <c r="AF228" s="60">
        <f t="shared" si="101"/>
        <v>0</v>
      </c>
      <c r="AG228" s="60">
        <f t="shared" si="101"/>
        <v>0</v>
      </c>
      <c r="AH228" s="27">
        <f t="shared" si="99"/>
        <v>0</v>
      </c>
    </row>
    <row r="229" spans="1:34" x14ac:dyDescent="0.25">
      <c r="A229" s="31" t="s">
        <v>318</v>
      </c>
      <c r="B229" s="31" t="s">
        <v>319</v>
      </c>
      <c r="C229" s="64">
        <v>0</v>
      </c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2">
        <f t="shared" si="94"/>
        <v>0</v>
      </c>
      <c r="Q229" s="2">
        <f t="shared" si="95"/>
        <v>0</v>
      </c>
      <c r="R229" s="15">
        <f t="shared" si="96"/>
        <v>0</v>
      </c>
      <c r="S229" s="15" t="s">
        <v>13</v>
      </c>
      <c r="T229" s="60">
        <f t="shared" si="100"/>
        <v>0</v>
      </c>
      <c r="U229" s="60">
        <f t="shared" si="100"/>
        <v>0</v>
      </c>
      <c r="V229" s="60">
        <f t="shared" si="100"/>
        <v>0</v>
      </c>
      <c r="W229" s="60">
        <f t="shared" si="100"/>
        <v>0</v>
      </c>
      <c r="X229" s="60">
        <f t="shared" si="100"/>
        <v>0</v>
      </c>
      <c r="Y229" s="60">
        <f t="shared" si="100"/>
        <v>0</v>
      </c>
      <c r="Z229" s="15"/>
      <c r="AA229" s="15" t="s">
        <v>13</v>
      </c>
      <c r="AB229" s="60">
        <f t="shared" si="101"/>
        <v>0</v>
      </c>
      <c r="AC229" s="60">
        <f t="shared" si="101"/>
        <v>0</v>
      </c>
      <c r="AD229" s="60">
        <f t="shared" si="101"/>
        <v>0</v>
      </c>
      <c r="AE229" s="60">
        <f t="shared" si="101"/>
        <v>0</v>
      </c>
      <c r="AF229" s="60">
        <f t="shared" si="101"/>
        <v>0</v>
      </c>
      <c r="AG229" s="60">
        <f t="shared" si="101"/>
        <v>0</v>
      </c>
      <c r="AH229" s="27">
        <f t="shared" si="99"/>
        <v>0</v>
      </c>
    </row>
    <row r="230" spans="1:34" x14ac:dyDescent="0.25">
      <c r="A230" s="31" t="s">
        <v>320</v>
      </c>
      <c r="B230" s="31" t="s">
        <v>321</v>
      </c>
      <c r="C230" s="64">
        <v>146357</v>
      </c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2">
        <f t="shared" si="94"/>
        <v>146357</v>
      </c>
      <c r="Q230" s="2">
        <f t="shared" si="95"/>
        <v>11258.23076923077</v>
      </c>
      <c r="R230" s="15">
        <f t="shared" si="96"/>
        <v>-0.22516461538543808</v>
      </c>
      <c r="S230" s="15" t="s">
        <v>13</v>
      </c>
      <c r="T230" s="60">
        <f t="shared" si="100"/>
        <v>-1825.5221192307692</v>
      </c>
      <c r="U230" s="60">
        <f t="shared" si="100"/>
        <v>-4409.961574615385</v>
      </c>
      <c r="V230" s="60">
        <f t="shared" si="100"/>
        <v>-2070.1634738461539</v>
      </c>
      <c r="W230" s="60">
        <f t="shared" si="100"/>
        <v>-39.966719230769236</v>
      </c>
      <c r="X230" s="60">
        <f t="shared" si="100"/>
        <v>-12.496636153846156</v>
      </c>
      <c r="Y230" s="60">
        <f t="shared" si="100"/>
        <v>-2900.345410769231</v>
      </c>
      <c r="Z230" s="15"/>
      <c r="AA230" s="15" t="s">
        <v>13</v>
      </c>
      <c r="AB230" s="60">
        <f t="shared" si="101"/>
        <v>0</v>
      </c>
      <c r="AC230" s="60">
        <f t="shared" si="101"/>
        <v>0</v>
      </c>
      <c r="AD230" s="60">
        <f t="shared" si="101"/>
        <v>0</v>
      </c>
      <c r="AE230" s="60">
        <f t="shared" si="101"/>
        <v>0</v>
      </c>
      <c r="AF230" s="60">
        <f t="shared" si="101"/>
        <v>0</v>
      </c>
      <c r="AG230" s="60">
        <f t="shared" si="101"/>
        <v>0</v>
      </c>
      <c r="AH230" s="27">
        <f t="shared" si="99"/>
        <v>0</v>
      </c>
    </row>
    <row r="231" spans="1:34" x14ac:dyDescent="0.25">
      <c r="A231" s="31" t="s">
        <v>322</v>
      </c>
      <c r="B231" s="31" t="s">
        <v>323</v>
      </c>
      <c r="C231" s="64">
        <v>0</v>
      </c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2">
        <f t="shared" si="94"/>
        <v>0</v>
      </c>
      <c r="Q231" s="2">
        <f t="shared" si="95"/>
        <v>0</v>
      </c>
      <c r="R231" s="15">
        <f t="shared" si="96"/>
        <v>0</v>
      </c>
      <c r="S231" s="15" t="s">
        <v>13</v>
      </c>
      <c r="T231" s="60">
        <f t="shared" si="100"/>
        <v>0</v>
      </c>
      <c r="U231" s="60">
        <f t="shared" si="100"/>
        <v>0</v>
      </c>
      <c r="V231" s="60">
        <f t="shared" si="100"/>
        <v>0</v>
      </c>
      <c r="W231" s="60">
        <f t="shared" si="100"/>
        <v>0</v>
      </c>
      <c r="X231" s="60">
        <f t="shared" si="100"/>
        <v>0</v>
      </c>
      <c r="Y231" s="60">
        <f t="shared" si="100"/>
        <v>0</v>
      </c>
      <c r="Z231" s="15"/>
      <c r="AA231" s="15" t="s">
        <v>13</v>
      </c>
      <c r="AB231" s="60">
        <f t="shared" si="101"/>
        <v>0</v>
      </c>
      <c r="AC231" s="60">
        <f t="shared" si="101"/>
        <v>0</v>
      </c>
      <c r="AD231" s="60">
        <f t="shared" si="101"/>
        <v>0</v>
      </c>
      <c r="AE231" s="60">
        <f t="shared" si="101"/>
        <v>0</v>
      </c>
      <c r="AF231" s="60">
        <f t="shared" si="101"/>
        <v>0</v>
      </c>
      <c r="AG231" s="60">
        <f t="shared" si="101"/>
        <v>0</v>
      </c>
      <c r="AH231" s="27">
        <f t="shared" si="99"/>
        <v>0</v>
      </c>
    </row>
    <row r="232" spans="1:34" x14ac:dyDescent="0.25">
      <c r="A232" s="31" t="s">
        <v>324</v>
      </c>
      <c r="B232" s="31" t="s">
        <v>325</v>
      </c>
      <c r="C232" s="64">
        <v>0</v>
      </c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2">
        <f t="shared" si="94"/>
        <v>0</v>
      </c>
      <c r="Q232" s="2">
        <f t="shared" si="95"/>
        <v>0</v>
      </c>
      <c r="R232" s="15">
        <f t="shared" si="96"/>
        <v>0</v>
      </c>
      <c r="S232" s="15" t="s">
        <v>13</v>
      </c>
      <c r="T232" s="60">
        <f t="shared" si="100"/>
        <v>0</v>
      </c>
      <c r="U232" s="60">
        <f t="shared" si="100"/>
        <v>0</v>
      </c>
      <c r="V232" s="60">
        <f t="shared" si="100"/>
        <v>0</v>
      </c>
      <c r="W232" s="60">
        <f t="shared" si="100"/>
        <v>0</v>
      </c>
      <c r="X232" s="60">
        <f t="shared" si="100"/>
        <v>0</v>
      </c>
      <c r="Y232" s="60">
        <f t="shared" si="100"/>
        <v>0</v>
      </c>
      <c r="Z232" s="15"/>
      <c r="AA232" s="15" t="s">
        <v>13</v>
      </c>
      <c r="AB232" s="60">
        <f t="shared" si="101"/>
        <v>0</v>
      </c>
      <c r="AC232" s="60">
        <f t="shared" si="101"/>
        <v>0</v>
      </c>
      <c r="AD232" s="60">
        <f t="shared" si="101"/>
        <v>0</v>
      </c>
      <c r="AE232" s="60">
        <f t="shared" si="101"/>
        <v>0</v>
      </c>
      <c r="AF232" s="60">
        <f t="shared" si="101"/>
        <v>0</v>
      </c>
      <c r="AG232" s="60">
        <f t="shared" si="101"/>
        <v>0</v>
      </c>
      <c r="AH232" s="27">
        <f t="shared" si="99"/>
        <v>0</v>
      </c>
    </row>
    <row r="233" spans="1:34" x14ac:dyDescent="0.25">
      <c r="A233" s="31" t="s">
        <v>326</v>
      </c>
      <c r="B233" s="31" t="s">
        <v>327</v>
      </c>
      <c r="C233" s="64">
        <v>0</v>
      </c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2">
        <f t="shared" si="94"/>
        <v>0</v>
      </c>
      <c r="Q233" s="2">
        <f t="shared" si="95"/>
        <v>0</v>
      </c>
      <c r="R233" s="15"/>
      <c r="S233" s="15" t="s">
        <v>13</v>
      </c>
      <c r="T233" s="60">
        <f t="shared" si="100"/>
        <v>0</v>
      </c>
      <c r="U233" s="60">
        <f t="shared" si="100"/>
        <v>0</v>
      </c>
      <c r="V233" s="60">
        <f t="shared" si="100"/>
        <v>0</v>
      </c>
      <c r="W233" s="60">
        <f t="shared" si="100"/>
        <v>0</v>
      </c>
      <c r="X233" s="60">
        <f t="shared" si="100"/>
        <v>0</v>
      </c>
      <c r="Y233" s="60">
        <f t="shared" si="100"/>
        <v>0</v>
      </c>
      <c r="Z233" s="15"/>
      <c r="AA233" s="15" t="s">
        <v>13</v>
      </c>
      <c r="AB233" s="60">
        <f t="shared" si="101"/>
        <v>0</v>
      </c>
      <c r="AC233" s="60">
        <f t="shared" si="101"/>
        <v>0</v>
      </c>
      <c r="AD233" s="60">
        <f t="shared" si="101"/>
        <v>0</v>
      </c>
      <c r="AE233" s="60">
        <f t="shared" si="101"/>
        <v>0</v>
      </c>
      <c r="AF233" s="60">
        <f t="shared" si="101"/>
        <v>0</v>
      </c>
      <c r="AG233" s="60">
        <f t="shared" si="101"/>
        <v>0</v>
      </c>
      <c r="AH233" s="27"/>
    </row>
    <row r="234" spans="1:34" x14ac:dyDescent="0.25">
      <c r="A234" s="31" t="s">
        <v>328</v>
      </c>
      <c r="B234" s="31" t="s">
        <v>329</v>
      </c>
      <c r="C234" s="64">
        <v>874</v>
      </c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2">
        <f t="shared" si="94"/>
        <v>874</v>
      </c>
      <c r="Q234" s="2">
        <f t="shared" si="95"/>
        <v>67.230769230769226</v>
      </c>
      <c r="R234" s="15"/>
      <c r="S234" s="15" t="s">
        <v>13</v>
      </c>
      <c r="T234" s="60">
        <f t="shared" si="100"/>
        <v>-10.90146923076923</v>
      </c>
      <c r="U234" s="60">
        <f t="shared" si="100"/>
        <v>-26.334964615384614</v>
      </c>
      <c r="V234" s="60">
        <f t="shared" si="100"/>
        <v>-12.362393846153845</v>
      </c>
      <c r="W234" s="60">
        <f t="shared" si="100"/>
        <v>-0.23866923076923077</v>
      </c>
      <c r="X234" s="60">
        <f t="shared" si="100"/>
        <v>-7.4626153846153842E-2</v>
      </c>
      <c r="Y234" s="60">
        <f t="shared" si="100"/>
        <v>-17.31999076923077</v>
      </c>
      <c r="Z234" s="15"/>
      <c r="AA234" s="15" t="s">
        <v>13</v>
      </c>
      <c r="AB234" s="60">
        <f t="shared" si="101"/>
        <v>0</v>
      </c>
      <c r="AC234" s="60">
        <f t="shared" si="101"/>
        <v>0</v>
      </c>
      <c r="AD234" s="60">
        <f t="shared" si="101"/>
        <v>0</v>
      </c>
      <c r="AE234" s="60">
        <f t="shared" si="101"/>
        <v>0</v>
      </c>
      <c r="AF234" s="60">
        <f t="shared" si="101"/>
        <v>0</v>
      </c>
      <c r="AG234" s="60">
        <f t="shared" si="101"/>
        <v>0</v>
      </c>
      <c r="AH234" s="27"/>
    </row>
    <row r="235" spans="1:34" x14ac:dyDescent="0.25">
      <c r="A235" s="31" t="s">
        <v>330</v>
      </c>
      <c r="B235" s="31" t="s">
        <v>331</v>
      </c>
      <c r="C235" s="64">
        <v>0</v>
      </c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2">
        <f t="shared" si="94"/>
        <v>0</v>
      </c>
      <c r="Q235" s="2">
        <f t="shared" si="95"/>
        <v>0</v>
      </c>
      <c r="R235" s="15"/>
      <c r="S235" s="15" t="s">
        <v>13</v>
      </c>
      <c r="T235" s="60">
        <f t="shared" si="100"/>
        <v>0</v>
      </c>
      <c r="U235" s="60">
        <f t="shared" si="100"/>
        <v>0</v>
      </c>
      <c r="V235" s="60">
        <f t="shared" si="100"/>
        <v>0</v>
      </c>
      <c r="W235" s="60">
        <f t="shared" si="100"/>
        <v>0</v>
      </c>
      <c r="X235" s="60">
        <f t="shared" si="100"/>
        <v>0</v>
      </c>
      <c r="Y235" s="60">
        <f t="shared" si="100"/>
        <v>0</v>
      </c>
      <c r="Z235" s="15"/>
      <c r="AA235" s="15" t="s">
        <v>13</v>
      </c>
      <c r="AB235" s="60">
        <f t="shared" si="101"/>
        <v>0</v>
      </c>
      <c r="AC235" s="60">
        <f t="shared" si="101"/>
        <v>0</v>
      </c>
      <c r="AD235" s="60">
        <f t="shared" si="101"/>
        <v>0</v>
      </c>
      <c r="AE235" s="60">
        <f t="shared" si="101"/>
        <v>0</v>
      </c>
      <c r="AF235" s="60">
        <f t="shared" si="101"/>
        <v>0</v>
      </c>
      <c r="AG235" s="60">
        <f t="shared" si="101"/>
        <v>0</v>
      </c>
      <c r="AH235" s="27"/>
    </row>
    <row r="236" spans="1:34" x14ac:dyDescent="0.25">
      <c r="A236" s="35"/>
      <c r="B236" s="35"/>
      <c r="C236" s="36" t="s">
        <v>67</v>
      </c>
      <c r="D236" s="36" t="s">
        <v>67</v>
      </c>
      <c r="E236" s="36" t="s">
        <v>67</v>
      </c>
      <c r="F236" s="36" t="s">
        <v>67</v>
      </c>
      <c r="G236" s="36" t="s">
        <v>67</v>
      </c>
      <c r="H236" s="36" t="s">
        <v>67</v>
      </c>
      <c r="I236" s="36" t="s">
        <v>67</v>
      </c>
      <c r="J236" s="36" t="s">
        <v>67</v>
      </c>
      <c r="K236" s="36" t="s">
        <v>67</v>
      </c>
      <c r="L236" s="36" t="s">
        <v>67</v>
      </c>
      <c r="M236" s="36" t="s">
        <v>67</v>
      </c>
      <c r="N236" s="36" t="s">
        <v>67</v>
      </c>
      <c r="O236" s="36" t="s">
        <v>67</v>
      </c>
      <c r="P236" s="36" t="s">
        <v>67</v>
      </c>
      <c r="Q236" s="36" t="s">
        <v>67</v>
      </c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27"/>
    </row>
    <row r="237" spans="1:34" x14ac:dyDescent="0.25">
      <c r="A237" s="37" t="s">
        <v>332</v>
      </c>
      <c r="B237" s="38"/>
      <c r="C237" s="39">
        <f>SUM(C220:C235)</f>
        <v>-66102</v>
      </c>
      <c r="D237" s="39">
        <f t="shared" ref="D237:Q237" si="102">SUM(D220:D235)</f>
        <v>-70615.789999999921</v>
      </c>
      <c r="E237" s="39">
        <f t="shared" si="102"/>
        <v>-70615.789999999921</v>
      </c>
      <c r="F237" s="39">
        <f t="shared" si="102"/>
        <v>-70615.789999999921</v>
      </c>
      <c r="G237" s="39">
        <f t="shared" si="102"/>
        <v>-70615.789999999921</v>
      </c>
      <c r="H237" s="39">
        <f t="shared" si="102"/>
        <v>-70615.789999999921</v>
      </c>
      <c r="I237" s="39">
        <f t="shared" si="102"/>
        <v>-70615.789999999921</v>
      </c>
      <c r="J237" s="39">
        <f t="shared" si="102"/>
        <v>-70615.789999999921</v>
      </c>
      <c r="K237" s="39">
        <f t="shared" si="102"/>
        <v>-70615.789999999921</v>
      </c>
      <c r="L237" s="39">
        <f t="shared" si="102"/>
        <v>-70615.789999999921</v>
      </c>
      <c r="M237" s="39">
        <f t="shared" si="102"/>
        <v>-70615.789999999921</v>
      </c>
      <c r="N237" s="39">
        <f t="shared" si="102"/>
        <v>-70615.789999999921</v>
      </c>
      <c r="O237" s="39">
        <f t="shared" si="102"/>
        <v>-70615.789999999921</v>
      </c>
      <c r="P237" s="39">
        <f t="shared" si="102"/>
        <v>-913491.47999999952</v>
      </c>
      <c r="Q237" s="39">
        <f t="shared" si="102"/>
        <v>-70268.575384615368</v>
      </c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27"/>
    </row>
    <row r="238" spans="1:34" x14ac:dyDescent="0.25">
      <c r="A238" s="35"/>
      <c r="B238" s="35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27"/>
    </row>
    <row r="239" spans="1:34" x14ac:dyDescent="0.25">
      <c r="A239" s="37" t="s">
        <v>333</v>
      </c>
      <c r="B239" s="38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27"/>
    </row>
    <row r="240" spans="1:34" x14ac:dyDescent="0.25">
      <c r="A240" s="31" t="s">
        <v>334</v>
      </c>
      <c r="B240" s="31" t="s">
        <v>335</v>
      </c>
      <c r="C240" s="64">
        <v>-288770</v>
      </c>
      <c r="D240" s="64">
        <f>C240+4011</f>
        <v>-284759</v>
      </c>
      <c r="E240" s="64">
        <f t="shared" ref="E240:O240" si="103">D240+4011</f>
        <v>-280748</v>
      </c>
      <c r="F240" s="64">
        <f t="shared" si="103"/>
        <v>-276737</v>
      </c>
      <c r="G240" s="64">
        <f t="shared" si="103"/>
        <v>-272726</v>
      </c>
      <c r="H240" s="64">
        <f t="shared" si="103"/>
        <v>-268715</v>
      </c>
      <c r="I240" s="64">
        <f t="shared" si="103"/>
        <v>-264704</v>
      </c>
      <c r="J240" s="64">
        <f t="shared" si="103"/>
        <v>-260693</v>
      </c>
      <c r="K240" s="64">
        <f t="shared" si="103"/>
        <v>-256682</v>
      </c>
      <c r="L240" s="64">
        <f t="shared" si="103"/>
        <v>-252671</v>
      </c>
      <c r="M240" s="64">
        <f t="shared" si="103"/>
        <v>-248660</v>
      </c>
      <c r="N240" s="64">
        <f t="shared" si="103"/>
        <v>-244649</v>
      </c>
      <c r="O240" s="64">
        <f t="shared" si="103"/>
        <v>-240638</v>
      </c>
      <c r="P240" s="2">
        <f t="shared" ref="P240:P241" si="104">SUM(C240:O240)</f>
        <v>-3441152</v>
      </c>
      <c r="Q240" s="2">
        <f t="shared" ref="Q240:Q241" si="105">P240/13</f>
        <v>-264704</v>
      </c>
      <c r="R240" s="15">
        <f>SUM(T240:Y240)+Q240</f>
        <v>5.2940800000214949</v>
      </c>
      <c r="S240" s="15" t="s">
        <v>13</v>
      </c>
      <c r="T240" s="60">
        <f t="shared" ref="T240:Y241" si="106">-$Q240*T$3</f>
        <v>42921.753599999996</v>
      </c>
      <c r="U240" s="60">
        <f t="shared" si="106"/>
        <v>103687.20384</v>
      </c>
      <c r="V240" s="60">
        <f t="shared" si="106"/>
        <v>48673.771519999995</v>
      </c>
      <c r="W240" s="60">
        <f t="shared" si="106"/>
        <v>939.69920000000002</v>
      </c>
      <c r="X240" s="60">
        <f t="shared" si="106"/>
        <v>293.82144000000005</v>
      </c>
      <c r="Y240" s="60">
        <f t="shared" si="106"/>
        <v>68193.044480000011</v>
      </c>
      <c r="Z240" s="15"/>
      <c r="AA240" s="15" t="s">
        <v>13</v>
      </c>
      <c r="AB240" s="60">
        <f t="shared" ref="AB240:AG241" si="107">-$O240*AB$3</f>
        <v>39019.451699999998</v>
      </c>
      <c r="AC240" s="60">
        <f t="shared" si="107"/>
        <v>94260.310979999995</v>
      </c>
      <c r="AD240" s="60">
        <f t="shared" si="107"/>
        <v>44248.515439999996</v>
      </c>
      <c r="AE240" s="60">
        <f t="shared" si="107"/>
        <v>854.26490000000001</v>
      </c>
      <c r="AF240" s="60">
        <f t="shared" si="107"/>
        <v>267.10818</v>
      </c>
      <c r="AG240" s="60">
        <f t="shared" si="107"/>
        <v>61993.16156</v>
      </c>
      <c r="AH240" s="27">
        <f>SUM(AB240:AG240)+O240</f>
        <v>4.8127600000007078</v>
      </c>
    </row>
    <row r="241" spans="1:34" x14ac:dyDescent="0.25">
      <c r="A241" s="31" t="s">
        <v>336</v>
      </c>
      <c r="B241" s="31" t="s">
        <v>337</v>
      </c>
      <c r="C241" s="64">
        <v>285385</v>
      </c>
      <c r="D241" s="64">
        <f>C241-1366</f>
        <v>284019</v>
      </c>
      <c r="E241" s="64">
        <f t="shared" ref="E241:O241" si="108">D241-1366</f>
        <v>282653</v>
      </c>
      <c r="F241" s="64">
        <f t="shared" si="108"/>
        <v>281287</v>
      </c>
      <c r="G241" s="64">
        <f t="shared" si="108"/>
        <v>279921</v>
      </c>
      <c r="H241" s="64">
        <f t="shared" si="108"/>
        <v>278555</v>
      </c>
      <c r="I241" s="64">
        <f t="shared" si="108"/>
        <v>277189</v>
      </c>
      <c r="J241" s="64">
        <f t="shared" si="108"/>
        <v>275823</v>
      </c>
      <c r="K241" s="64">
        <f t="shared" si="108"/>
        <v>274457</v>
      </c>
      <c r="L241" s="64">
        <f t="shared" si="108"/>
        <v>273091</v>
      </c>
      <c r="M241" s="64">
        <f t="shared" si="108"/>
        <v>271725</v>
      </c>
      <c r="N241" s="64">
        <f t="shared" si="108"/>
        <v>270359</v>
      </c>
      <c r="O241" s="64">
        <f t="shared" si="108"/>
        <v>268993</v>
      </c>
      <c r="P241" s="2">
        <f t="shared" si="104"/>
        <v>3603457</v>
      </c>
      <c r="Q241" s="2">
        <f t="shared" si="105"/>
        <v>277189</v>
      </c>
      <c r="R241" s="15">
        <f>SUM(T241:Y241)+Q241</f>
        <v>-5.5437800000072457</v>
      </c>
      <c r="S241" s="15" t="s">
        <v>13</v>
      </c>
      <c r="T241" s="60">
        <f t="shared" si="106"/>
        <v>-44946.196349999998</v>
      </c>
      <c r="U241" s="60">
        <f t="shared" si="106"/>
        <v>-108577.70319</v>
      </c>
      <c r="V241" s="60">
        <f t="shared" si="106"/>
        <v>-50969.513319999998</v>
      </c>
      <c r="W241" s="60">
        <f t="shared" si="106"/>
        <v>-984.02095000000008</v>
      </c>
      <c r="X241" s="60">
        <f t="shared" si="106"/>
        <v>-307.67979000000003</v>
      </c>
      <c r="Y241" s="60">
        <f t="shared" si="106"/>
        <v>-71409.43018000001</v>
      </c>
      <c r="Z241" s="15"/>
      <c r="AA241" s="15" t="s">
        <v>13</v>
      </c>
      <c r="AB241" s="60">
        <f t="shared" si="107"/>
        <v>-43617.214949999994</v>
      </c>
      <c r="AC241" s="60">
        <f t="shared" si="107"/>
        <v>-105367.24803</v>
      </c>
      <c r="AD241" s="60">
        <f t="shared" si="107"/>
        <v>-49462.432839999994</v>
      </c>
      <c r="AE241" s="60">
        <f t="shared" si="107"/>
        <v>-954.92515000000003</v>
      </c>
      <c r="AF241" s="60">
        <f t="shared" si="107"/>
        <v>-298.58223000000004</v>
      </c>
      <c r="AG241" s="60">
        <f t="shared" si="107"/>
        <v>-69297.97666</v>
      </c>
      <c r="AH241" s="27">
        <f>SUM(AB241:AG241)+O241</f>
        <v>-5.3798599999863654</v>
      </c>
    </row>
    <row r="242" spans="1:34" x14ac:dyDescent="0.25">
      <c r="A242" s="35"/>
      <c r="B242" s="35"/>
      <c r="C242" s="36" t="s">
        <v>67</v>
      </c>
      <c r="D242" s="36" t="s">
        <v>67</v>
      </c>
      <c r="E242" s="36" t="s">
        <v>67</v>
      </c>
      <c r="F242" s="36" t="s">
        <v>67</v>
      </c>
      <c r="G242" s="36" t="s">
        <v>67</v>
      </c>
      <c r="H242" s="36" t="s">
        <v>67</v>
      </c>
      <c r="I242" s="36" t="s">
        <v>67</v>
      </c>
      <c r="J242" s="36" t="s">
        <v>67</v>
      </c>
      <c r="K242" s="36" t="s">
        <v>67</v>
      </c>
      <c r="L242" s="36" t="s">
        <v>67</v>
      </c>
      <c r="M242" s="36" t="s">
        <v>67</v>
      </c>
      <c r="N242" s="36" t="s">
        <v>67</v>
      </c>
      <c r="O242" s="36" t="s">
        <v>67</v>
      </c>
      <c r="P242" s="36" t="s">
        <v>67</v>
      </c>
      <c r="Q242" s="36" t="s">
        <v>67</v>
      </c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27"/>
    </row>
    <row r="243" spans="1:34" x14ac:dyDescent="0.25">
      <c r="A243" s="37" t="s">
        <v>338</v>
      </c>
      <c r="B243" s="38"/>
      <c r="C243" s="39">
        <f>SUM(C240:C241)</f>
        <v>-3385</v>
      </c>
      <c r="D243" s="39">
        <f t="shared" ref="D243:Q243" si="109">SUM(D240:D241)</f>
        <v>-740</v>
      </c>
      <c r="E243" s="39">
        <f t="shared" si="109"/>
        <v>1905</v>
      </c>
      <c r="F243" s="39">
        <f t="shared" si="109"/>
        <v>4550</v>
      </c>
      <c r="G243" s="39">
        <f t="shared" si="109"/>
        <v>7195</v>
      </c>
      <c r="H243" s="39">
        <f t="shared" si="109"/>
        <v>9840</v>
      </c>
      <c r="I243" s="39">
        <f t="shared" si="109"/>
        <v>12485</v>
      </c>
      <c r="J243" s="39">
        <f t="shared" si="109"/>
        <v>15130</v>
      </c>
      <c r="K243" s="39">
        <f t="shared" si="109"/>
        <v>17775</v>
      </c>
      <c r="L243" s="39">
        <f t="shared" si="109"/>
        <v>20420</v>
      </c>
      <c r="M243" s="39">
        <f t="shared" si="109"/>
        <v>23065</v>
      </c>
      <c r="N243" s="39">
        <f t="shared" si="109"/>
        <v>25710</v>
      </c>
      <c r="O243" s="39">
        <f t="shared" si="109"/>
        <v>28355</v>
      </c>
      <c r="P243" s="39">
        <f t="shared" si="109"/>
        <v>162305</v>
      </c>
      <c r="Q243" s="39">
        <f t="shared" si="109"/>
        <v>12485</v>
      </c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27"/>
    </row>
    <row r="244" spans="1:34" x14ac:dyDescent="0.25">
      <c r="A244" s="35"/>
      <c r="B244" s="35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27"/>
    </row>
    <row r="245" spans="1:34" x14ac:dyDescent="0.25">
      <c r="A245" s="21" t="s">
        <v>339</v>
      </c>
      <c r="B245" s="22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27"/>
    </row>
    <row r="246" spans="1:34" x14ac:dyDescent="0.25">
      <c r="A246" s="13" t="s">
        <v>340</v>
      </c>
      <c r="B246" s="13" t="s">
        <v>341</v>
      </c>
      <c r="C246" s="64">
        <v>-13579024</v>
      </c>
      <c r="D246" s="148">
        <v>-14121815.819999998</v>
      </c>
      <c r="E246" s="148">
        <v>-14121815.819999998</v>
      </c>
      <c r="F246" s="148">
        <v>-14121815.819999998</v>
      </c>
      <c r="G246" s="148">
        <v>-14121815.819999998</v>
      </c>
      <c r="H246" s="148">
        <v>-14121815.819999998</v>
      </c>
      <c r="I246" s="148">
        <v>-14121815.819999998</v>
      </c>
      <c r="J246" s="148">
        <v>-14121815.819999998</v>
      </c>
      <c r="K246" s="148">
        <v>-14121815.819999998</v>
      </c>
      <c r="L246" s="148">
        <v>-14121815.819999998</v>
      </c>
      <c r="M246" s="148">
        <v>-14121815.819999998</v>
      </c>
      <c r="N246" s="148">
        <v>-14121815.819999998</v>
      </c>
      <c r="O246" s="148">
        <v>-14121815.819999998</v>
      </c>
      <c r="P246" s="2">
        <f t="shared" ref="P246:P251" si="110">SUM(C246:O246)</f>
        <v>-183040813.83999994</v>
      </c>
      <c r="Q246" s="2">
        <f t="shared" ref="Q246:Q251" si="111">P246/13</f>
        <v>-14080062.603076918</v>
      </c>
      <c r="R246" s="15">
        <f t="shared" ref="R246:R251" si="112">SUM(T246:Y246)+Q246</f>
        <v>0</v>
      </c>
      <c r="S246" s="15" t="s">
        <v>29</v>
      </c>
      <c r="T246" s="15">
        <f t="shared" ref="T246:Y251" si="113">-$Q246*T$6</f>
        <v>3548175.7759753834</v>
      </c>
      <c r="U246" s="15">
        <f t="shared" si="113"/>
        <v>7321632.5535999974</v>
      </c>
      <c r="V246" s="15">
        <f t="shared" si="113"/>
        <v>0</v>
      </c>
      <c r="W246" s="15">
        <f t="shared" si="113"/>
        <v>0</v>
      </c>
      <c r="X246" s="15">
        <f t="shared" si="113"/>
        <v>0</v>
      </c>
      <c r="Y246" s="15">
        <f t="shared" si="113"/>
        <v>3210254.2735015373</v>
      </c>
      <c r="Z246" s="15"/>
      <c r="AA246" s="15" t="s">
        <v>29</v>
      </c>
      <c r="AB246" s="15">
        <f t="shared" ref="AB246:AG251" si="114">-$O246*AB$6</f>
        <v>3558697.5866399994</v>
      </c>
      <c r="AC246" s="15">
        <f t="shared" si="114"/>
        <v>7343344.2263999991</v>
      </c>
      <c r="AD246" s="15">
        <f t="shared" si="114"/>
        <v>0</v>
      </c>
      <c r="AE246" s="15">
        <f t="shared" si="114"/>
        <v>0</v>
      </c>
      <c r="AF246" s="15">
        <f t="shared" si="114"/>
        <v>0</v>
      </c>
      <c r="AG246" s="15">
        <f t="shared" si="114"/>
        <v>3219774.0069599999</v>
      </c>
      <c r="AH246" s="27">
        <f t="shared" ref="AH246:AH251" si="115">SUM(AB246:AG246)+O246</f>
        <v>0</v>
      </c>
    </row>
    <row r="247" spans="1:34" x14ac:dyDescent="0.25">
      <c r="A247" s="13" t="s">
        <v>342</v>
      </c>
      <c r="B247" s="13" t="s">
        <v>343</v>
      </c>
      <c r="C247" s="64">
        <v>7455</v>
      </c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2">
        <f t="shared" si="110"/>
        <v>7455</v>
      </c>
      <c r="Q247" s="2">
        <f t="shared" si="111"/>
        <v>573.46153846153845</v>
      </c>
      <c r="R247" s="15">
        <f t="shared" si="112"/>
        <v>0</v>
      </c>
      <c r="S247" s="15" t="s">
        <v>29</v>
      </c>
      <c r="T247" s="15">
        <f t="shared" si="113"/>
        <v>-144.5123076923077</v>
      </c>
      <c r="U247" s="15">
        <f t="shared" si="113"/>
        <v>-298.2</v>
      </c>
      <c r="V247" s="15">
        <f t="shared" si="113"/>
        <v>0</v>
      </c>
      <c r="W247" s="15">
        <f t="shared" si="113"/>
        <v>0</v>
      </c>
      <c r="X247" s="15">
        <f t="shared" si="113"/>
        <v>0</v>
      </c>
      <c r="Y247" s="15">
        <f t="shared" si="113"/>
        <v>-130.74923076923076</v>
      </c>
      <c r="Z247" s="15"/>
      <c r="AA247" s="15" t="s">
        <v>29</v>
      </c>
      <c r="AB247" s="15">
        <f t="shared" si="114"/>
        <v>0</v>
      </c>
      <c r="AC247" s="15">
        <f t="shared" si="114"/>
        <v>0</v>
      </c>
      <c r="AD247" s="15">
        <f t="shared" si="114"/>
        <v>0</v>
      </c>
      <c r="AE247" s="15">
        <f t="shared" si="114"/>
        <v>0</v>
      </c>
      <c r="AF247" s="15">
        <f t="shared" si="114"/>
        <v>0</v>
      </c>
      <c r="AG247" s="15">
        <f t="shared" si="114"/>
        <v>0</v>
      </c>
      <c r="AH247" s="27">
        <f t="shared" si="115"/>
        <v>0</v>
      </c>
    </row>
    <row r="248" spans="1:34" x14ac:dyDescent="0.25">
      <c r="A248" s="13" t="s">
        <v>344</v>
      </c>
      <c r="B248" s="13" t="s">
        <v>345</v>
      </c>
      <c r="C248" s="64">
        <v>-598688</v>
      </c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2">
        <f t="shared" si="110"/>
        <v>-598688</v>
      </c>
      <c r="Q248" s="2">
        <f t="shared" si="111"/>
        <v>-46052.923076923078</v>
      </c>
      <c r="R248" s="15">
        <f t="shared" si="112"/>
        <v>0</v>
      </c>
      <c r="S248" s="15" t="s">
        <v>29</v>
      </c>
      <c r="T248" s="15">
        <f t="shared" si="113"/>
        <v>11605.336615384616</v>
      </c>
      <c r="U248" s="15">
        <f t="shared" si="113"/>
        <v>23947.52</v>
      </c>
      <c r="V248" s="15">
        <f t="shared" si="113"/>
        <v>0</v>
      </c>
      <c r="W248" s="15">
        <f t="shared" si="113"/>
        <v>0</v>
      </c>
      <c r="X248" s="15">
        <f t="shared" si="113"/>
        <v>0</v>
      </c>
      <c r="Y248" s="15">
        <f t="shared" si="113"/>
        <v>10500.066461538463</v>
      </c>
      <c r="Z248" s="15"/>
      <c r="AA248" s="15" t="s">
        <v>29</v>
      </c>
      <c r="AB248" s="15">
        <f t="shared" si="114"/>
        <v>0</v>
      </c>
      <c r="AC248" s="15">
        <f t="shared" si="114"/>
        <v>0</v>
      </c>
      <c r="AD248" s="15">
        <f t="shared" si="114"/>
        <v>0</v>
      </c>
      <c r="AE248" s="15">
        <f t="shared" si="114"/>
        <v>0</v>
      </c>
      <c r="AF248" s="15">
        <f t="shared" si="114"/>
        <v>0</v>
      </c>
      <c r="AG248" s="15">
        <f t="shared" si="114"/>
        <v>0</v>
      </c>
      <c r="AH248" s="27">
        <f t="shared" si="115"/>
        <v>0</v>
      </c>
    </row>
    <row r="249" spans="1:34" x14ac:dyDescent="0.25">
      <c r="A249" s="13" t="s">
        <v>346</v>
      </c>
      <c r="B249" s="13" t="s">
        <v>347</v>
      </c>
      <c r="C249" s="64">
        <v>-102586</v>
      </c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2">
        <f t="shared" si="110"/>
        <v>-102586</v>
      </c>
      <c r="Q249" s="2">
        <f t="shared" si="111"/>
        <v>-7891.2307692307695</v>
      </c>
      <c r="R249" s="15">
        <f t="shared" si="112"/>
        <v>0</v>
      </c>
      <c r="S249" s="15" t="s">
        <v>29</v>
      </c>
      <c r="T249" s="15">
        <f t="shared" si="113"/>
        <v>1988.590153846154</v>
      </c>
      <c r="U249" s="15">
        <f t="shared" si="113"/>
        <v>4103.4400000000005</v>
      </c>
      <c r="V249" s="15">
        <f t="shared" si="113"/>
        <v>0</v>
      </c>
      <c r="W249" s="15">
        <f t="shared" si="113"/>
        <v>0</v>
      </c>
      <c r="X249" s="15">
        <f t="shared" si="113"/>
        <v>0</v>
      </c>
      <c r="Y249" s="15">
        <f t="shared" si="113"/>
        <v>1799.2006153846155</v>
      </c>
      <c r="Z249" s="15"/>
      <c r="AA249" s="15" t="s">
        <v>29</v>
      </c>
      <c r="AB249" s="15">
        <f t="shared" si="114"/>
        <v>0</v>
      </c>
      <c r="AC249" s="15">
        <f t="shared" si="114"/>
        <v>0</v>
      </c>
      <c r="AD249" s="15">
        <f t="shared" si="114"/>
        <v>0</v>
      </c>
      <c r="AE249" s="15">
        <f t="shared" si="114"/>
        <v>0</v>
      </c>
      <c r="AF249" s="15">
        <f t="shared" si="114"/>
        <v>0</v>
      </c>
      <c r="AG249" s="15">
        <f t="shared" si="114"/>
        <v>0</v>
      </c>
      <c r="AH249" s="27">
        <f t="shared" si="115"/>
        <v>0</v>
      </c>
    </row>
    <row r="250" spans="1:34" x14ac:dyDescent="0.25">
      <c r="A250" s="13" t="s">
        <v>348</v>
      </c>
      <c r="B250" s="13" t="s">
        <v>349</v>
      </c>
      <c r="C250" s="64">
        <v>-8652</v>
      </c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2">
        <f t="shared" si="110"/>
        <v>-8652</v>
      </c>
      <c r="Q250" s="2">
        <f t="shared" si="111"/>
        <v>-665.53846153846155</v>
      </c>
      <c r="R250" s="15">
        <f t="shared" si="112"/>
        <v>0</v>
      </c>
      <c r="S250" s="15" t="s">
        <v>29</v>
      </c>
      <c r="T250" s="15">
        <f t="shared" si="113"/>
        <v>167.71569230769231</v>
      </c>
      <c r="U250" s="15">
        <f t="shared" si="113"/>
        <v>346.08000000000004</v>
      </c>
      <c r="V250" s="15">
        <f t="shared" si="113"/>
        <v>0</v>
      </c>
      <c r="W250" s="15">
        <f t="shared" si="113"/>
        <v>0</v>
      </c>
      <c r="X250" s="15">
        <f t="shared" si="113"/>
        <v>0</v>
      </c>
      <c r="Y250" s="15">
        <f t="shared" si="113"/>
        <v>151.74276923076923</v>
      </c>
      <c r="Z250" s="15"/>
      <c r="AA250" s="15" t="s">
        <v>29</v>
      </c>
      <c r="AB250" s="15">
        <f t="shared" si="114"/>
        <v>0</v>
      </c>
      <c r="AC250" s="15">
        <f t="shared" si="114"/>
        <v>0</v>
      </c>
      <c r="AD250" s="15">
        <f t="shared" si="114"/>
        <v>0</v>
      </c>
      <c r="AE250" s="15">
        <f t="shared" si="114"/>
        <v>0</v>
      </c>
      <c r="AF250" s="15">
        <f t="shared" si="114"/>
        <v>0</v>
      </c>
      <c r="AG250" s="15">
        <f t="shared" si="114"/>
        <v>0</v>
      </c>
      <c r="AH250" s="27">
        <f t="shared" si="115"/>
        <v>0</v>
      </c>
    </row>
    <row r="251" spans="1:34" x14ac:dyDescent="0.25">
      <c r="A251" s="13" t="s">
        <v>350</v>
      </c>
      <c r="B251" s="13" t="s">
        <v>351</v>
      </c>
      <c r="C251" s="64">
        <v>259223</v>
      </c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2">
        <f t="shared" si="110"/>
        <v>259223</v>
      </c>
      <c r="Q251" s="2">
        <f t="shared" si="111"/>
        <v>19940.23076923077</v>
      </c>
      <c r="R251" s="15">
        <f t="shared" si="112"/>
        <v>0</v>
      </c>
      <c r="S251" s="15" t="s">
        <v>29</v>
      </c>
      <c r="T251" s="15">
        <f t="shared" si="113"/>
        <v>-5024.9381538461539</v>
      </c>
      <c r="U251" s="15">
        <f t="shared" si="113"/>
        <v>-10368.92</v>
      </c>
      <c r="V251" s="15">
        <f t="shared" si="113"/>
        <v>0</v>
      </c>
      <c r="W251" s="15">
        <f t="shared" si="113"/>
        <v>0</v>
      </c>
      <c r="X251" s="15">
        <f t="shared" si="113"/>
        <v>0</v>
      </c>
      <c r="Y251" s="15">
        <f t="shared" si="113"/>
        <v>-4546.3726153846155</v>
      </c>
      <c r="Z251" s="15"/>
      <c r="AA251" s="15" t="s">
        <v>29</v>
      </c>
      <c r="AB251" s="15">
        <f t="shared" si="114"/>
        <v>0</v>
      </c>
      <c r="AC251" s="15">
        <f t="shared" si="114"/>
        <v>0</v>
      </c>
      <c r="AD251" s="15">
        <f t="shared" si="114"/>
        <v>0</v>
      </c>
      <c r="AE251" s="15">
        <f t="shared" si="114"/>
        <v>0</v>
      </c>
      <c r="AF251" s="15">
        <f t="shared" si="114"/>
        <v>0</v>
      </c>
      <c r="AG251" s="15">
        <f t="shared" si="114"/>
        <v>0</v>
      </c>
      <c r="AH251" s="27">
        <f t="shared" si="115"/>
        <v>0</v>
      </c>
    </row>
    <row r="252" spans="1:34" x14ac:dyDescent="0.25">
      <c r="C252" s="26" t="s">
        <v>67</v>
      </c>
      <c r="D252" s="26" t="s">
        <v>67</v>
      </c>
      <c r="E252" s="26" t="s">
        <v>67</v>
      </c>
      <c r="F252" s="26" t="s">
        <v>67</v>
      </c>
      <c r="G252" s="26" t="s">
        <v>67</v>
      </c>
      <c r="H252" s="26" t="s">
        <v>67</v>
      </c>
      <c r="I252" s="26" t="s">
        <v>67</v>
      </c>
      <c r="J252" s="26" t="s">
        <v>67</v>
      </c>
      <c r="K252" s="26" t="s">
        <v>67</v>
      </c>
      <c r="L252" s="26" t="s">
        <v>67</v>
      </c>
      <c r="M252" s="26" t="s">
        <v>67</v>
      </c>
      <c r="N252" s="26" t="s">
        <v>67</v>
      </c>
      <c r="O252" s="26" t="s">
        <v>67</v>
      </c>
      <c r="P252" s="26" t="s">
        <v>67</v>
      </c>
      <c r="Q252" s="26" t="s">
        <v>67</v>
      </c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27"/>
    </row>
    <row r="253" spans="1:34" x14ac:dyDescent="0.25">
      <c r="A253" s="21" t="s">
        <v>352</v>
      </c>
      <c r="B253" s="22"/>
      <c r="C253" s="23">
        <f>SUM(C246:C251)</f>
        <v>-14022272</v>
      </c>
      <c r="D253" s="23">
        <f t="shared" ref="D253:Q253" si="116">SUM(D246:D251)</f>
        <v>-14121815.819999998</v>
      </c>
      <c r="E253" s="23">
        <f t="shared" si="116"/>
        <v>-14121815.819999998</v>
      </c>
      <c r="F253" s="23">
        <f t="shared" si="116"/>
        <v>-14121815.819999998</v>
      </c>
      <c r="G253" s="23">
        <f t="shared" si="116"/>
        <v>-14121815.819999998</v>
      </c>
      <c r="H253" s="23">
        <f t="shared" si="116"/>
        <v>-14121815.819999998</v>
      </c>
      <c r="I253" s="23">
        <f t="shared" si="116"/>
        <v>-14121815.819999998</v>
      </c>
      <c r="J253" s="23">
        <f t="shared" si="116"/>
        <v>-14121815.819999998</v>
      </c>
      <c r="K253" s="23">
        <f t="shared" si="116"/>
        <v>-14121815.819999998</v>
      </c>
      <c r="L253" s="23">
        <f t="shared" si="116"/>
        <v>-14121815.819999998</v>
      </c>
      <c r="M253" s="23">
        <f t="shared" si="116"/>
        <v>-14121815.819999998</v>
      </c>
      <c r="N253" s="23">
        <f t="shared" si="116"/>
        <v>-14121815.819999998</v>
      </c>
      <c r="O253" s="23">
        <f t="shared" si="116"/>
        <v>-14121815.819999998</v>
      </c>
      <c r="P253" s="23">
        <f t="shared" si="116"/>
        <v>-183484061.83999994</v>
      </c>
      <c r="Q253" s="23">
        <f t="shared" si="116"/>
        <v>-14114158.603076918</v>
      </c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27"/>
    </row>
    <row r="254" spans="1:34" x14ac:dyDescent="0.25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3"/>
    </row>
    <row r="255" spans="1:34" x14ac:dyDescent="0.25">
      <c r="A255" s="21" t="s">
        <v>353</v>
      </c>
      <c r="B255" s="22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3"/>
    </row>
    <row r="256" spans="1:34" x14ac:dyDescent="0.25">
      <c r="A256" s="13" t="s">
        <v>354</v>
      </c>
      <c r="B256" s="13" t="s">
        <v>355</v>
      </c>
      <c r="C256" s="64">
        <v>411149</v>
      </c>
      <c r="D256" s="64">
        <v>407549</v>
      </c>
      <c r="E256" s="64">
        <v>407549</v>
      </c>
      <c r="F256" s="64">
        <v>407549</v>
      </c>
      <c r="G256" s="64">
        <v>407549</v>
      </c>
      <c r="H256" s="64">
        <v>407549</v>
      </c>
      <c r="I256" s="64">
        <v>407549</v>
      </c>
      <c r="J256" s="64">
        <v>407549</v>
      </c>
      <c r="K256" s="64">
        <v>407549</v>
      </c>
      <c r="L256" s="64">
        <v>407549</v>
      </c>
      <c r="M256" s="64">
        <v>407549</v>
      </c>
      <c r="N256" s="64">
        <v>407549</v>
      </c>
      <c r="O256" s="64">
        <v>407549</v>
      </c>
      <c r="P256" s="2">
        <f t="shared" ref="P256" si="117">SUM(C256:O256)</f>
        <v>5301737</v>
      </c>
      <c r="Q256" s="2">
        <f t="shared" ref="Q256" si="118">P256/13</f>
        <v>407825.92307692306</v>
      </c>
      <c r="R256" s="15">
        <f>SUM(T256:Y256)+Q256</f>
        <v>-8.1565184615319595</v>
      </c>
      <c r="S256" s="15" t="s">
        <v>225</v>
      </c>
      <c r="T256" s="15">
        <f t="shared" ref="T256:Y256" si="119">-$Q256*T$3</f>
        <v>-66128.973426923068</v>
      </c>
      <c r="U256" s="15">
        <f t="shared" si="119"/>
        <v>-159749.49232846152</v>
      </c>
      <c r="V256" s="15">
        <f t="shared" si="119"/>
        <v>-74991.030735384615</v>
      </c>
      <c r="W256" s="15">
        <f t="shared" si="119"/>
        <v>-1447.782026923077</v>
      </c>
      <c r="X256" s="15">
        <f t="shared" si="119"/>
        <v>-452.68677461538465</v>
      </c>
      <c r="Y256" s="15">
        <f t="shared" si="119"/>
        <v>-105064.11430307693</v>
      </c>
      <c r="Z256" s="15"/>
      <c r="AA256" s="15" t="s">
        <v>225</v>
      </c>
      <c r="AB256" s="15">
        <f t="shared" ref="AB256:AG256" si="120">-$O256*AB$3</f>
        <v>-66084.070349999995</v>
      </c>
      <c r="AC256" s="15">
        <f t="shared" si="120"/>
        <v>-159641.01879</v>
      </c>
      <c r="AD256" s="15">
        <f t="shared" si="120"/>
        <v>-74940.110119999998</v>
      </c>
      <c r="AE256" s="15">
        <f t="shared" si="120"/>
        <v>-1446.7989500000001</v>
      </c>
      <c r="AF256" s="15">
        <f t="shared" si="120"/>
        <v>-452.37939000000006</v>
      </c>
      <c r="AG256" s="15">
        <f t="shared" si="120"/>
        <v>-104992.77338000001</v>
      </c>
      <c r="AH256" s="27">
        <f>SUM(AB256:AG256)+O256</f>
        <v>-8.1509800000931136</v>
      </c>
    </row>
    <row r="257" spans="1:34" x14ac:dyDescent="0.25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27"/>
    </row>
    <row r="258" spans="1:34" ht="15.75" x14ac:dyDescent="0.3">
      <c r="A258" s="18" t="s">
        <v>356</v>
      </c>
      <c r="B258" s="19"/>
      <c r="C258" s="20">
        <f>C256+C253+C243+C237</f>
        <v>-13680610</v>
      </c>
      <c r="D258" s="20">
        <f t="shared" ref="D258:Q258" si="121">D256+D253+D243+D237</f>
        <v>-13785622.609999998</v>
      </c>
      <c r="E258" s="20">
        <f t="shared" si="121"/>
        <v>-13782977.609999998</v>
      </c>
      <c r="F258" s="20">
        <f t="shared" si="121"/>
        <v>-13780332.609999998</v>
      </c>
      <c r="G258" s="20">
        <f t="shared" si="121"/>
        <v>-13777687.609999998</v>
      </c>
      <c r="H258" s="20">
        <f t="shared" si="121"/>
        <v>-13775042.609999998</v>
      </c>
      <c r="I258" s="20">
        <f t="shared" si="121"/>
        <v>-13772397.609999998</v>
      </c>
      <c r="J258" s="20">
        <f t="shared" si="121"/>
        <v>-13769752.609999998</v>
      </c>
      <c r="K258" s="20">
        <f t="shared" si="121"/>
        <v>-13767107.609999998</v>
      </c>
      <c r="L258" s="20">
        <f t="shared" si="121"/>
        <v>-13764462.609999998</v>
      </c>
      <c r="M258" s="20">
        <f t="shared" si="121"/>
        <v>-13761817.609999998</v>
      </c>
      <c r="N258" s="20">
        <f t="shared" si="121"/>
        <v>-13759172.609999998</v>
      </c>
      <c r="O258" s="20">
        <f t="shared" si="121"/>
        <v>-13756527.609999998</v>
      </c>
      <c r="P258" s="20">
        <f t="shared" si="121"/>
        <v>-178933511.31999993</v>
      </c>
      <c r="Q258" s="20">
        <f t="shared" si="121"/>
        <v>-13764116.255384609</v>
      </c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3"/>
    </row>
    <row r="259" spans="1:34" x14ac:dyDescent="0.25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3"/>
    </row>
    <row r="260" spans="1:34" ht="15.75" x14ac:dyDescent="0.3">
      <c r="A260" s="18" t="s">
        <v>357</v>
      </c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3"/>
    </row>
    <row r="261" spans="1:34" x14ac:dyDescent="0.25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3"/>
    </row>
    <row r="262" spans="1:34" x14ac:dyDescent="0.25">
      <c r="A262" s="21" t="s">
        <v>358</v>
      </c>
      <c r="B262" s="22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3"/>
    </row>
    <row r="263" spans="1:34" x14ac:dyDescent="0.25">
      <c r="A263" s="13" t="s">
        <v>359</v>
      </c>
      <c r="B263" s="13" t="s">
        <v>360</v>
      </c>
      <c r="C263" s="64">
        <v>-2500241</v>
      </c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2">
        <f t="shared" ref="P263:P265" si="122">SUM(C263:O263)</f>
        <v>-2500241</v>
      </c>
      <c r="Q263" s="2">
        <f t="shared" ref="Q263:Q265" si="123">P263/13</f>
        <v>-192326.23076923078</v>
      </c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3"/>
    </row>
    <row r="264" spans="1:34" x14ac:dyDescent="0.25">
      <c r="A264" s="13" t="s">
        <v>361</v>
      </c>
      <c r="B264" s="13" t="s">
        <v>362</v>
      </c>
      <c r="C264" s="64">
        <v>-590721</v>
      </c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2">
        <f t="shared" si="122"/>
        <v>-590721</v>
      </c>
      <c r="Q264" s="2">
        <f t="shared" si="123"/>
        <v>-45440.076923076922</v>
      </c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3"/>
    </row>
    <row r="265" spans="1:34" x14ac:dyDescent="0.25">
      <c r="A265" s="13" t="s">
        <v>363</v>
      </c>
      <c r="B265" s="13" t="s">
        <v>364</v>
      </c>
      <c r="C265" s="64">
        <v>73044291</v>
      </c>
      <c r="D265" s="146">
        <v>69964528</v>
      </c>
      <c r="E265" s="146">
        <v>69949725.991246775</v>
      </c>
      <c r="F265" s="146">
        <v>69932703.681180537</v>
      </c>
      <c r="G265" s="146">
        <v>69917161.571989641</v>
      </c>
      <c r="H265" s="146">
        <v>69900879.362361103</v>
      </c>
      <c r="I265" s="146">
        <v>69884597.152732566</v>
      </c>
      <c r="J265" s="146">
        <v>69868749.711105317</v>
      </c>
      <c r="K265" s="146">
        <v>69851392.98932308</v>
      </c>
      <c r="L265" s="146">
        <v>69834790.907618359</v>
      </c>
      <c r="M265" s="146">
        <v>69818943.46599111</v>
      </c>
      <c r="N265" s="146">
        <v>69802341.384286389</v>
      </c>
      <c r="O265" s="146">
        <v>69785739.302581668</v>
      </c>
      <c r="P265" s="2">
        <f t="shared" si="122"/>
        <v>911555844.52041662</v>
      </c>
      <c r="Q265" s="2">
        <f t="shared" si="123"/>
        <v>70119680.347724348</v>
      </c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3"/>
    </row>
    <row r="266" spans="1:34" x14ac:dyDescent="0.25">
      <c r="C266" s="26" t="s">
        <v>67</v>
      </c>
      <c r="D266" s="26" t="s">
        <v>67</v>
      </c>
      <c r="E266" s="26" t="s">
        <v>67</v>
      </c>
      <c r="F266" s="26" t="s">
        <v>67</v>
      </c>
      <c r="G266" s="26" t="s">
        <v>67</v>
      </c>
      <c r="H266" s="26" t="s">
        <v>67</v>
      </c>
      <c r="I266" s="26" t="s">
        <v>67</v>
      </c>
      <c r="J266" s="26" t="s">
        <v>67</v>
      </c>
      <c r="K266" s="26" t="s">
        <v>67</v>
      </c>
      <c r="L266" s="26" t="s">
        <v>67</v>
      </c>
      <c r="M266" s="26" t="s">
        <v>67</v>
      </c>
      <c r="N266" s="26" t="s">
        <v>67</v>
      </c>
      <c r="O266" s="26" t="s">
        <v>67</v>
      </c>
      <c r="P266" s="26" t="s">
        <v>67</v>
      </c>
      <c r="Q266" s="26" t="s">
        <v>67</v>
      </c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3"/>
    </row>
    <row r="267" spans="1:34" x14ac:dyDescent="0.25">
      <c r="A267" s="21" t="s">
        <v>365</v>
      </c>
      <c r="B267" s="22"/>
      <c r="C267" s="160">
        <f>SUM(C263:C265)</f>
        <v>69953329</v>
      </c>
      <c r="D267" s="23">
        <f t="shared" ref="D267:Q267" si="124">SUM(D263:D265)</f>
        <v>69964528</v>
      </c>
      <c r="E267" s="23">
        <f t="shared" si="124"/>
        <v>69949725.991246775</v>
      </c>
      <c r="F267" s="23">
        <f t="shared" si="124"/>
        <v>69932703.681180537</v>
      </c>
      <c r="G267" s="23">
        <f t="shared" si="124"/>
        <v>69917161.571989641</v>
      </c>
      <c r="H267" s="23">
        <f t="shared" si="124"/>
        <v>69900879.362361103</v>
      </c>
      <c r="I267" s="23">
        <f t="shared" si="124"/>
        <v>69884597.152732566</v>
      </c>
      <c r="J267" s="23">
        <f t="shared" si="124"/>
        <v>69868749.711105317</v>
      </c>
      <c r="K267" s="23">
        <f t="shared" si="124"/>
        <v>69851392.98932308</v>
      </c>
      <c r="L267" s="23">
        <f t="shared" si="124"/>
        <v>69834790.907618359</v>
      </c>
      <c r="M267" s="23">
        <f t="shared" si="124"/>
        <v>69818943.46599111</v>
      </c>
      <c r="N267" s="23">
        <f t="shared" si="124"/>
        <v>69802341.384286389</v>
      </c>
      <c r="O267" s="23">
        <f t="shared" si="124"/>
        <v>69785739.302581668</v>
      </c>
      <c r="P267" s="23">
        <f t="shared" si="124"/>
        <v>908464882.52041662</v>
      </c>
      <c r="Q267" s="23">
        <f t="shared" si="124"/>
        <v>69881914.040032044</v>
      </c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3"/>
    </row>
    <row r="268" spans="1:34" x14ac:dyDescent="0.25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3"/>
    </row>
    <row r="269" spans="1:34" ht="15.75" x14ac:dyDescent="0.3">
      <c r="A269" s="18" t="s">
        <v>366</v>
      </c>
      <c r="B269" s="19"/>
      <c r="C269" s="20">
        <f>C267+C258+C216</f>
        <v>60051792</v>
      </c>
      <c r="D269" s="20">
        <f t="shared" ref="D269:Q269" si="125">D267+D258+D216</f>
        <v>62338171.520000003</v>
      </c>
      <c r="E269" s="20">
        <f t="shared" si="125"/>
        <v>61539147.678964771</v>
      </c>
      <c r="F269" s="20">
        <f t="shared" si="125"/>
        <v>61525993.827013865</v>
      </c>
      <c r="G269" s="20">
        <f t="shared" si="125"/>
        <v>61507820.249301866</v>
      </c>
      <c r="H269" s="20">
        <f t="shared" si="125"/>
        <v>61488655.310746461</v>
      </c>
      <c r="I269" s="20">
        <f t="shared" si="125"/>
        <v>61485822.298565894</v>
      </c>
      <c r="J269" s="20">
        <f t="shared" si="125"/>
        <v>61467239.72957889</v>
      </c>
      <c r="K269" s="20">
        <f t="shared" si="125"/>
        <v>61446635.487355009</v>
      </c>
      <c r="L269" s="20">
        <f t="shared" si="125"/>
        <v>61443951.053451687</v>
      </c>
      <c r="M269" s="20">
        <f t="shared" si="125"/>
        <v>61425368.484464683</v>
      </c>
      <c r="N269" s="20">
        <f t="shared" si="125"/>
        <v>62950950.048859276</v>
      </c>
      <c r="O269" s="20">
        <f t="shared" si="125"/>
        <v>62948009.418414995</v>
      </c>
      <c r="P269" s="20">
        <f t="shared" si="125"/>
        <v>801619557.10671759</v>
      </c>
      <c r="Q269" s="20">
        <f t="shared" si="125"/>
        <v>61663042.85436289</v>
      </c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3"/>
    </row>
    <row r="270" spans="1:34" x14ac:dyDescent="0.25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3"/>
    </row>
    <row r="271" spans="1:34" ht="19.5" x14ac:dyDescent="0.4">
      <c r="A271" s="5" t="s">
        <v>367</v>
      </c>
      <c r="B271" s="16"/>
      <c r="C271" s="17">
        <f>C269</f>
        <v>60051792</v>
      </c>
      <c r="D271" s="17">
        <f t="shared" ref="D271:Q271" si="126">D269</f>
        <v>62338171.520000003</v>
      </c>
      <c r="E271" s="17">
        <f t="shared" si="126"/>
        <v>61539147.678964771</v>
      </c>
      <c r="F271" s="17">
        <f t="shared" si="126"/>
        <v>61525993.827013865</v>
      </c>
      <c r="G271" s="17">
        <f t="shared" si="126"/>
        <v>61507820.249301866</v>
      </c>
      <c r="H271" s="17">
        <f t="shared" si="126"/>
        <v>61488655.310746461</v>
      </c>
      <c r="I271" s="17">
        <f t="shared" si="126"/>
        <v>61485822.298565894</v>
      </c>
      <c r="J271" s="17">
        <f t="shared" si="126"/>
        <v>61467239.72957889</v>
      </c>
      <c r="K271" s="17">
        <f t="shared" si="126"/>
        <v>61446635.487355009</v>
      </c>
      <c r="L271" s="17">
        <f t="shared" si="126"/>
        <v>61443951.053451687</v>
      </c>
      <c r="M271" s="17">
        <f t="shared" si="126"/>
        <v>61425368.484464683</v>
      </c>
      <c r="N271" s="17">
        <f t="shared" si="126"/>
        <v>62950950.048859276</v>
      </c>
      <c r="O271" s="17">
        <f t="shared" si="126"/>
        <v>62948009.418414995</v>
      </c>
      <c r="P271" s="17">
        <f t="shared" si="126"/>
        <v>801619557.10671759</v>
      </c>
      <c r="Q271" s="17">
        <f t="shared" si="126"/>
        <v>61663042.85436289</v>
      </c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3"/>
    </row>
    <row r="272" spans="1:34" x14ac:dyDescent="0.25">
      <c r="C272" s="26" t="s">
        <v>231</v>
      </c>
      <c r="D272" s="26" t="s">
        <v>231</v>
      </c>
      <c r="E272" s="26" t="s">
        <v>231</v>
      </c>
      <c r="F272" s="26" t="s">
        <v>231</v>
      </c>
      <c r="G272" s="26" t="s">
        <v>231</v>
      </c>
      <c r="H272" s="26" t="s">
        <v>231</v>
      </c>
      <c r="I272" s="26" t="s">
        <v>231</v>
      </c>
      <c r="J272" s="26" t="s">
        <v>231</v>
      </c>
      <c r="K272" s="26" t="s">
        <v>231</v>
      </c>
      <c r="L272" s="26" t="s">
        <v>231</v>
      </c>
      <c r="M272" s="26" t="s">
        <v>231</v>
      </c>
      <c r="N272" s="26" t="s">
        <v>231</v>
      </c>
      <c r="O272" s="26" t="s">
        <v>231</v>
      </c>
      <c r="P272" s="26" t="s">
        <v>231</v>
      </c>
      <c r="Q272" s="26" t="s">
        <v>231</v>
      </c>
      <c r="R272" s="15"/>
      <c r="S272" s="15"/>
      <c r="T272" s="61">
        <f t="shared" ref="T272:Y272" si="127">SUM(T79:T271)-SUM(T219:T235)-T240-T241</f>
        <v>2959020.9296816844</v>
      </c>
      <c r="U272" s="61">
        <f t="shared" si="127"/>
        <v>6199083.2898454508</v>
      </c>
      <c r="V272" s="61">
        <f t="shared" si="127"/>
        <v>-432281.74538942508</v>
      </c>
      <c r="W272" s="61">
        <f t="shared" si="127"/>
        <v>-7207.4682980231428</v>
      </c>
      <c r="X272" s="61">
        <f t="shared" si="127"/>
        <v>-5023.3365459000661</v>
      </c>
      <c r="Y272" s="61">
        <f t="shared" si="127"/>
        <v>2379303.6001906944</v>
      </c>
      <c r="Z272" s="61"/>
      <c r="AA272" s="61"/>
      <c r="AB272" s="61">
        <f t="shared" ref="AB272:AG272" si="128">SUM(AB79:AB271)-SUM(AB219:AB235)-AB240-AB241</f>
        <v>2651242.4826130001</v>
      </c>
      <c r="AC272" s="61">
        <f t="shared" si="128"/>
        <v>5687455.4275027011</v>
      </c>
      <c r="AD272" s="61">
        <f t="shared" si="128"/>
        <v>-645726.38629239949</v>
      </c>
      <c r="AE272" s="61">
        <f t="shared" si="128"/>
        <v>-8891.3085603333275</v>
      </c>
      <c r="AF272" s="61">
        <f t="shared" si="128"/>
        <v>-6544.5731591333297</v>
      </c>
      <c r="AG272" s="61">
        <f t="shared" si="128"/>
        <v>1953049.4687582343</v>
      </c>
      <c r="AH272" s="3"/>
    </row>
    <row r="273" spans="1:34" x14ac:dyDescent="0.25">
      <c r="C273" s="2">
        <f t="shared" ref="C273:Q273" si="129">C163-C271</f>
        <v>-0.21000000089406967</v>
      </c>
      <c r="D273" s="2">
        <f t="shared" si="129"/>
        <v>0</v>
      </c>
      <c r="E273" s="2">
        <f t="shared" si="129"/>
        <v>0</v>
      </c>
      <c r="F273" s="2">
        <f t="shared" si="129"/>
        <v>0</v>
      </c>
      <c r="G273" s="2">
        <f t="shared" si="129"/>
        <v>0</v>
      </c>
      <c r="H273" s="2">
        <f t="shared" si="129"/>
        <v>0</v>
      </c>
      <c r="I273" s="2">
        <f t="shared" si="129"/>
        <v>0</v>
      </c>
      <c r="J273" s="2">
        <f t="shared" si="129"/>
        <v>0</v>
      </c>
      <c r="K273" s="2">
        <f t="shared" si="129"/>
        <v>0</v>
      </c>
      <c r="L273" s="2">
        <f t="shared" si="129"/>
        <v>0</v>
      </c>
      <c r="M273" s="2">
        <f t="shared" si="129"/>
        <v>0</v>
      </c>
      <c r="N273" s="2">
        <f t="shared" si="129"/>
        <v>0</v>
      </c>
      <c r="O273" s="2">
        <f t="shared" si="129"/>
        <v>0</v>
      </c>
      <c r="P273" s="2">
        <f t="shared" si="129"/>
        <v>-0.21000003814697266</v>
      </c>
      <c r="Q273" s="2">
        <f t="shared" si="129"/>
        <v>-1.6153872013092041E-2</v>
      </c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3"/>
    </row>
    <row r="274" spans="1:34" x14ac:dyDescent="0.25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3"/>
    </row>
    <row r="275" spans="1:34" x14ac:dyDescent="0.25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 x14ac:dyDescent="0.25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 x14ac:dyDescent="0.25">
      <c r="A277" s="13" t="s">
        <v>368</v>
      </c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62" t="s">
        <v>369</v>
      </c>
      <c r="R277" s="3"/>
      <c r="S277" s="3"/>
      <c r="T277" s="3"/>
      <c r="U277" s="3" t="s">
        <v>370</v>
      </c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 x14ac:dyDescent="0.25">
      <c r="A278" s="13" t="s">
        <v>371</v>
      </c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62" t="s">
        <v>372</v>
      </c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 x14ac:dyDescent="0.25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 x14ac:dyDescent="0.25">
      <c r="A280" s="35"/>
      <c r="B280" s="35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 x14ac:dyDescent="0.25">
      <c r="A281" s="35"/>
      <c r="B281" s="35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 x14ac:dyDescent="0.25">
      <c r="A282" s="35"/>
      <c r="B282" s="35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x14ac:dyDescent="0.25">
      <c r="A283" s="35"/>
      <c r="B283" s="35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 x14ac:dyDescent="0.25">
      <c r="A284" s="35"/>
      <c r="B284" s="35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24"/>
      <c r="P285" s="24"/>
      <c r="Q285" s="24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24"/>
      <c r="P286" s="24"/>
      <c r="Q286" s="24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24"/>
      <c r="P287" s="24"/>
      <c r="Q287" s="24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24"/>
      <c r="P288" s="24"/>
      <c r="Q288" s="24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24"/>
      <c r="P289" s="24"/>
      <c r="Q289" s="24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24"/>
      <c r="P290" s="24"/>
      <c r="Q290" s="24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24"/>
      <c r="P291" s="24"/>
      <c r="Q291" s="24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24"/>
      <c r="P292" s="24"/>
      <c r="Q292" s="24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24"/>
      <c r="P293" s="24"/>
      <c r="Q293" s="24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24"/>
      <c r="P294" s="24"/>
      <c r="Q294" s="24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24"/>
      <c r="P295" s="24"/>
      <c r="Q295" s="24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24"/>
      <c r="P296" s="24"/>
      <c r="Q296" s="24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24"/>
      <c r="P297" s="24"/>
      <c r="Q297" s="24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24"/>
      <c r="P298" s="24"/>
      <c r="Q298" s="24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24"/>
      <c r="P299" s="24"/>
      <c r="Q299" s="24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24"/>
      <c r="P300" s="24"/>
      <c r="Q300" s="24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24"/>
      <c r="P301" s="24"/>
      <c r="Q301" s="24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24"/>
      <c r="P302" s="24"/>
      <c r="Q302" s="24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24"/>
      <c r="P303" s="24"/>
      <c r="Q303" s="24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24"/>
      <c r="P304" s="24"/>
      <c r="Q304" s="24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24"/>
      <c r="P305" s="24"/>
      <c r="Q305" s="24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24"/>
      <c r="P306" s="24"/>
      <c r="Q306" s="24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 x14ac:dyDescent="0.25">
      <c r="A307" s="35"/>
      <c r="B307" s="35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 x14ac:dyDescent="0.25">
      <c r="A308" s="35"/>
      <c r="B308" s="35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 x14ac:dyDescent="0.25">
      <c r="A309" s="35"/>
      <c r="B309" s="35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 x14ac:dyDescent="0.25">
      <c r="A310" s="35"/>
      <c r="B310" s="35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1:34" x14ac:dyDescent="0.25">
      <c r="A311" s="35"/>
      <c r="B311" s="35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1:34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64"/>
      <c r="P312" s="64"/>
      <c r="Q312" s="64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1:34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</sheetData>
  <pageMargins left="0.7" right="0.7" top="0.75" bottom="0.75" header="0.3" footer="0.3"/>
  <pageSetup orientation="portrait" horizontalDpi="90" verticalDpi="9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10"/>
  <sheetViews>
    <sheetView topLeftCell="A4" workbookViewId="0">
      <pane xSplit="2" ySplit="5" topLeftCell="P268" activePane="bottomRight" state="frozen"/>
      <selection activeCell="A4" sqref="A4"/>
      <selection pane="topRight" activeCell="C4" sqref="C4"/>
      <selection pane="bottomLeft" activeCell="A9" sqref="A9"/>
      <selection pane="bottomRight" activeCell="U271" sqref="U271"/>
    </sheetView>
  </sheetViews>
  <sheetFormatPr defaultRowHeight="15" x14ac:dyDescent="0.25"/>
  <cols>
    <col min="1" max="1" width="59.28515625" customWidth="1"/>
    <col min="2" max="2" width="10" bestFit="1" customWidth="1"/>
    <col min="3" max="15" width="15.42578125" bestFit="1" customWidth="1"/>
    <col min="16" max="16" width="17" bestFit="1" customWidth="1"/>
    <col min="17" max="17" width="15.42578125" bestFit="1" customWidth="1"/>
    <col min="18" max="18" width="7.42578125" bestFit="1" customWidth="1"/>
    <col min="19" max="19" width="15.140625" bestFit="1" customWidth="1"/>
    <col min="20" max="20" width="13.140625" bestFit="1" customWidth="1"/>
    <col min="22" max="22" width="7.85546875" bestFit="1" customWidth="1"/>
    <col min="23" max="23" width="6.140625" bestFit="1" customWidth="1"/>
    <col min="24" max="24" width="8" bestFit="1" customWidth="1"/>
    <col min="27" max="27" width="8.42578125" bestFit="1" customWidth="1"/>
    <col min="28" max="29" width="8.7109375" bestFit="1" customWidth="1"/>
    <col min="30" max="30" width="7.85546875" bestFit="1" customWidth="1"/>
    <col min="31" max="31" width="6.140625" bestFit="1" customWidth="1"/>
    <col min="32" max="32" width="8" bestFit="1" customWidth="1"/>
    <col min="33" max="33" width="8.7109375" bestFit="1" customWidth="1"/>
    <col min="34" max="34" width="7.42578125" bestFit="1" customWidth="1"/>
  </cols>
  <sheetData>
    <row r="1" spans="1:34" ht="22.5" x14ac:dyDescent="0.45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 t="s">
        <v>1</v>
      </c>
      <c r="T1" s="4" t="s">
        <v>2</v>
      </c>
      <c r="U1" s="4"/>
      <c r="V1" s="4"/>
      <c r="W1" s="4"/>
      <c r="X1" s="4"/>
      <c r="Y1" s="4"/>
      <c r="Z1" s="4"/>
      <c r="AA1" s="4" t="s">
        <v>1</v>
      </c>
      <c r="AB1" s="4" t="s">
        <v>3</v>
      </c>
      <c r="AC1" s="4"/>
      <c r="AD1" s="4"/>
      <c r="AE1" s="4"/>
      <c r="AF1" s="4"/>
      <c r="AG1" s="4"/>
      <c r="AH1" s="3"/>
    </row>
    <row r="2" spans="1:34" ht="19.5" x14ac:dyDescent="0.4">
      <c r="A2" s="5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4" t="s">
        <v>5</v>
      </c>
      <c r="T2" s="4" t="s">
        <v>6</v>
      </c>
      <c r="U2" s="4" t="s">
        <v>7</v>
      </c>
      <c r="V2" s="4" t="s">
        <v>8</v>
      </c>
      <c r="W2" s="4" t="s">
        <v>9</v>
      </c>
      <c r="X2" s="4" t="s">
        <v>10</v>
      </c>
      <c r="Y2" s="4" t="s">
        <v>11</v>
      </c>
      <c r="Z2" s="4"/>
      <c r="AA2" s="4" t="s">
        <v>5</v>
      </c>
      <c r="AB2" s="4" t="s">
        <v>6</v>
      </c>
      <c r="AC2" s="4" t="s">
        <v>7</v>
      </c>
      <c r="AD2" s="4" t="s">
        <v>8</v>
      </c>
      <c r="AE2" s="4" t="s">
        <v>9</v>
      </c>
      <c r="AF2" s="4" t="s">
        <v>10</v>
      </c>
      <c r="AG2" s="4" t="s">
        <v>11</v>
      </c>
      <c r="AH2" s="3"/>
    </row>
    <row r="3" spans="1:34" ht="19.5" x14ac:dyDescent="0.4">
      <c r="A3" s="5" t="s">
        <v>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4" t="s">
        <v>13</v>
      </c>
      <c r="T3" s="6">
        <v>0.16214999999999999</v>
      </c>
      <c r="U3" s="6">
        <v>0.39171</v>
      </c>
      <c r="V3" s="6">
        <v>0.18387999999999999</v>
      </c>
      <c r="W3" s="6">
        <v>3.5500000000000002E-3</v>
      </c>
      <c r="X3" s="6">
        <v>1.1100000000000001E-3</v>
      </c>
      <c r="Y3" s="6">
        <v>0.25762000000000002</v>
      </c>
      <c r="Z3" s="4"/>
      <c r="AA3" s="4" t="s">
        <v>13</v>
      </c>
      <c r="AB3" s="6">
        <v>0.16214999999999999</v>
      </c>
      <c r="AC3" s="6">
        <v>0.39171</v>
      </c>
      <c r="AD3" s="6">
        <v>0.18387999999999999</v>
      </c>
      <c r="AE3" s="6">
        <v>3.5500000000000002E-3</v>
      </c>
      <c r="AF3" s="6">
        <v>1.1100000000000001E-3</v>
      </c>
      <c r="AG3" s="6">
        <v>0.25762000000000002</v>
      </c>
      <c r="AH3" s="7"/>
    </row>
    <row r="4" spans="1:34" ht="19.5" x14ac:dyDescent="0.4">
      <c r="A4" s="5" t="s">
        <v>501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4" t="s">
        <v>15</v>
      </c>
      <c r="T4" s="8">
        <v>0.2928</v>
      </c>
      <c r="U4" s="8">
        <v>0.70720000000000005</v>
      </c>
      <c r="V4" s="8"/>
      <c r="W4" s="8"/>
      <c r="X4" s="8"/>
      <c r="Y4" s="9"/>
      <c r="Z4" s="4"/>
      <c r="AA4" s="4" t="s">
        <v>15</v>
      </c>
      <c r="AB4" s="8">
        <v>0.2928</v>
      </c>
      <c r="AC4" s="8">
        <v>0.70720000000000005</v>
      </c>
      <c r="AD4" s="8"/>
      <c r="AE4" s="8"/>
      <c r="AF4" s="8"/>
      <c r="AG4" s="9"/>
      <c r="AH4" s="7"/>
    </row>
    <row r="5" spans="1:34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4" t="s">
        <v>16</v>
      </c>
      <c r="T5" s="8">
        <v>0.21299999999999999</v>
      </c>
      <c r="U5" s="8">
        <v>0.34799999999999998</v>
      </c>
      <c r="V5" s="8">
        <v>0.14399999999999999</v>
      </c>
      <c r="W5" s="8">
        <v>1E-3</v>
      </c>
      <c r="X5" s="8">
        <v>1E-3</v>
      </c>
      <c r="Y5" s="8">
        <v>0.29299999999999998</v>
      </c>
      <c r="Z5" s="4"/>
      <c r="AA5" s="4" t="s">
        <v>16</v>
      </c>
      <c r="AB5" s="8">
        <v>0.21299999999999999</v>
      </c>
      <c r="AC5" s="8">
        <v>0.34799999999999998</v>
      </c>
      <c r="AD5" s="8">
        <v>0.14399999999999999</v>
      </c>
      <c r="AE5" s="8">
        <v>1E-3</v>
      </c>
      <c r="AF5" s="8">
        <v>1E-3</v>
      </c>
      <c r="AG5" s="8">
        <v>0.29299999999999998</v>
      </c>
      <c r="AH5" s="7"/>
    </row>
    <row r="6" spans="1:34" x14ac:dyDescent="0.25">
      <c r="C6" s="10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0" t="s">
        <v>22</v>
      </c>
      <c r="I6" s="10" t="s">
        <v>23</v>
      </c>
      <c r="J6" s="10" t="s">
        <v>24</v>
      </c>
      <c r="K6" s="10" t="s">
        <v>25</v>
      </c>
      <c r="L6" s="10" t="s">
        <v>26</v>
      </c>
      <c r="M6" s="10" t="s">
        <v>27</v>
      </c>
      <c r="N6" s="10" t="s">
        <v>28</v>
      </c>
      <c r="O6" s="10" t="s">
        <v>17</v>
      </c>
      <c r="P6" s="2"/>
      <c r="Q6" s="2"/>
      <c r="R6" s="3"/>
      <c r="S6" s="4" t="s">
        <v>29</v>
      </c>
      <c r="T6" s="8">
        <v>0.252</v>
      </c>
      <c r="U6" s="8">
        <v>0.52</v>
      </c>
      <c r="V6" s="8"/>
      <c r="W6" s="8"/>
      <c r="X6" s="8"/>
      <c r="Y6" s="8">
        <v>0.22800000000000001</v>
      </c>
      <c r="Z6" s="4"/>
      <c r="AA6" s="4" t="s">
        <v>29</v>
      </c>
      <c r="AB6" s="8">
        <v>0.252</v>
      </c>
      <c r="AC6" s="8">
        <v>0.52</v>
      </c>
      <c r="AD6" s="8"/>
      <c r="AE6" s="8"/>
      <c r="AF6" s="8"/>
      <c r="AG6" s="8">
        <v>0.22800000000000001</v>
      </c>
      <c r="AH6" s="7"/>
    </row>
    <row r="7" spans="1:34" x14ac:dyDescent="0.25">
      <c r="C7" s="11" t="s">
        <v>497</v>
      </c>
      <c r="D7" s="11" t="s">
        <v>502</v>
      </c>
      <c r="E7" s="11" t="s">
        <v>502</v>
      </c>
      <c r="F7" s="11" t="s">
        <v>502</v>
      </c>
      <c r="G7" s="11" t="s">
        <v>502</v>
      </c>
      <c r="H7" s="11" t="s">
        <v>502</v>
      </c>
      <c r="I7" s="11" t="s">
        <v>502</v>
      </c>
      <c r="J7" s="11" t="s">
        <v>502</v>
      </c>
      <c r="K7" s="11" t="s">
        <v>502</v>
      </c>
      <c r="L7" s="11" t="s">
        <v>502</v>
      </c>
      <c r="M7" s="11" t="s">
        <v>502</v>
      </c>
      <c r="N7" s="11" t="s">
        <v>502</v>
      </c>
      <c r="O7" s="11" t="s">
        <v>502</v>
      </c>
      <c r="P7" s="12" t="s">
        <v>32</v>
      </c>
      <c r="Q7" s="12" t="s">
        <v>33</v>
      </c>
      <c r="R7" s="3"/>
      <c r="S7" s="4" t="s">
        <v>34</v>
      </c>
      <c r="T7" s="8">
        <v>0.192</v>
      </c>
      <c r="U7" s="8">
        <v>0.39610000000000001</v>
      </c>
      <c r="V7" s="8">
        <v>0.13700000000000001</v>
      </c>
      <c r="W7" s="8">
        <v>3.2000000000000002E-3</v>
      </c>
      <c r="X7" s="8">
        <v>2.2000000000000001E-3</v>
      </c>
      <c r="Y7" s="8">
        <v>0.26950000000000002</v>
      </c>
      <c r="Z7" s="4"/>
      <c r="AA7" s="4" t="s">
        <v>34</v>
      </c>
      <c r="AB7" s="8">
        <v>0.192</v>
      </c>
      <c r="AC7" s="8">
        <v>0.39610000000000001</v>
      </c>
      <c r="AD7" s="8">
        <v>0.13700000000000001</v>
      </c>
      <c r="AE7" s="8">
        <v>3.2000000000000002E-3</v>
      </c>
      <c r="AF7" s="8">
        <v>2.2000000000000001E-3</v>
      </c>
      <c r="AG7" s="8">
        <v>0.26950000000000002</v>
      </c>
      <c r="AH7" s="7"/>
    </row>
    <row r="8" spans="1:34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3"/>
    </row>
    <row r="9" spans="1:34" x14ac:dyDescent="0.25">
      <c r="A9" s="13" t="s">
        <v>35</v>
      </c>
      <c r="B9" s="13" t="s">
        <v>36</v>
      </c>
      <c r="C9" s="14">
        <v>-53473801</v>
      </c>
      <c r="D9" s="14">
        <v>-52927683</v>
      </c>
      <c r="E9" s="14">
        <v>-50782991</v>
      </c>
      <c r="F9" s="14">
        <v>-53728742</v>
      </c>
      <c r="G9" s="14">
        <v>-52528295</v>
      </c>
      <c r="H9" s="14">
        <v>-54546955</v>
      </c>
      <c r="I9" s="14">
        <v>-53198317</v>
      </c>
      <c r="J9" s="14">
        <v>-56088549</v>
      </c>
      <c r="K9" s="14">
        <v>-57339401</v>
      </c>
      <c r="L9" s="14">
        <v>-53454763</v>
      </c>
      <c r="M9" s="14">
        <v>-55104746</v>
      </c>
      <c r="N9" s="14">
        <v>-47993900</v>
      </c>
      <c r="O9" s="14">
        <v>-62628904</v>
      </c>
      <c r="P9" s="14">
        <v>-703797045</v>
      </c>
      <c r="Q9" s="14">
        <v>-54138234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3"/>
    </row>
    <row r="10" spans="1:34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3"/>
    </row>
    <row r="11" spans="1:34" ht="19.5" x14ac:dyDescent="0.4">
      <c r="A11" s="5" t="s">
        <v>37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3"/>
    </row>
    <row r="12" spans="1:34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3"/>
    </row>
    <row r="13" spans="1:34" ht="15.75" x14ac:dyDescent="0.3">
      <c r="A13" s="18" t="s">
        <v>38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3"/>
    </row>
    <row r="14" spans="1:34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3"/>
    </row>
    <row r="15" spans="1:34" x14ac:dyDescent="0.25">
      <c r="A15" s="21" t="s">
        <v>39</v>
      </c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3"/>
    </row>
    <row r="16" spans="1:34" x14ac:dyDescent="0.25">
      <c r="A16" s="13" t="s">
        <v>40</v>
      </c>
      <c r="B16" s="13" t="s">
        <v>41</v>
      </c>
      <c r="C16" s="2">
        <f>'WC def tax 22'!O16</f>
        <v>12191005</v>
      </c>
      <c r="D16" s="2">
        <v>12191005</v>
      </c>
      <c r="E16" s="2">
        <v>12191005</v>
      </c>
      <c r="F16" s="2">
        <v>12191005</v>
      </c>
      <c r="G16" s="2">
        <v>12191005</v>
      </c>
      <c r="H16" s="2">
        <v>12191005</v>
      </c>
      <c r="I16" s="2">
        <v>12191005</v>
      </c>
      <c r="J16" s="2">
        <v>12191005</v>
      </c>
      <c r="K16" s="2">
        <v>12191005</v>
      </c>
      <c r="L16" s="2">
        <v>12191005</v>
      </c>
      <c r="M16" s="2">
        <v>12191005</v>
      </c>
      <c r="N16" s="2">
        <v>12191005</v>
      </c>
      <c r="O16" s="2">
        <v>12191005</v>
      </c>
      <c r="P16" s="2">
        <f>SUM(C16:O16)</f>
        <v>158483065</v>
      </c>
      <c r="Q16" s="2">
        <f>P16/13</f>
        <v>12191005</v>
      </c>
      <c r="R16" s="24"/>
      <c r="S16" s="25" t="s">
        <v>42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3"/>
    </row>
    <row r="17" spans="1:34" x14ac:dyDescent="0.25">
      <c r="A17" s="13" t="s">
        <v>43</v>
      </c>
      <c r="B17" s="13" t="s">
        <v>44</v>
      </c>
      <c r="C17" s="2">
        <f>'WC def tax 22'!O17</f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f t="shared" ref="P17:P28" si="0">SUM(C17:O17)</f>
        <v>0</v>
      </c>
      <c r="Q17" s="2">
        <f t="shared" ref="Q17:Q28" si="1">P17/13</f>
        <v>0</v>
      </c>
      <c r="R17" s="1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3"/>
    </row>
    <row r="18" spans="1:34" x14ac:dyDescent="0.25">
      <c r="A18" s="13" t="s">
        <v>45</v>
      </c>
      <c r="B18" s="13" t="s">
        <v>46</v>
      </c>
      <c r="C18" s="2">
        <f>'WC def tax 22'!O18</f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f t="shared" si="0"/>
        <v>0</v>
      </c>
      <c r="Q18" s="2">
        <f t="shared" si="1"/>
        <v>0</v>
      </c>
      <c r="R18" s="1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3"/>
    </row>
    <row r="19" spans="1:34" x14ac:dyDescent="0.25">
      <c r="A19" s="13" t="s">
        <v>47</v>
      </c>
      <c r="B19" s="13" t="s">
        <v>48</v>
      </c>
      <c r="C19" s="2">
        <f>'WC def tax 22'!O19</f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f t="shared" si="0"/>
        <v>0</v>
      </c>
      <c r="Q19" s="2">
        <f t="shared" si="1"/>
        <v>0</v>
      </c>
      <c r="R19" s="1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3"/>
    </row>
    <row r="20" spans="1:34" x14ac:dyDescent="0.25">
      <c r="A20" s="13" t="s">
        <v>49</v>
      </c>
      <c r="B20" s="13" t="s">
        <v>50</v>
      </c>
      <c r="C20" s="2">
        <f>'WC def tax 22'!O20</f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f t="shared" si="0"/>
        <v>0</v>
      </c>
      <c r="Q20" s="2">
        <f t="shared" si="1"/>
        <v>0</v>
      </c>
      <c r="R20" s="1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3"/>
    </row>
    <row r="21" spans="1:34" x14ac:dyDescent="0.25">
      <c r="A21" s="13" t="s">
        <v>51</v>
      </c>
      <c r="B21" s="13" t="s">
        <v>52</v>
      </c>
      <c r="C21" s="2">
        <f>'WC def tax 22'!O21</f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f t="shared" si="0"/>
        <v>0</v>
      </c>
      <c r="Q21" s="2">
        <f t="shared" si="1"/>
        <v>0</v>
      </c>
      <c r="R21" s="1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3"/>
    </row>
    <row r="22" spans="1:34" x14ac:dyDescent="0.25">
      <c r="A22" s="13" t="s">
        <v>53</v>
      </c>
      <c r="B22" s="13" t="s">
        <v>54</v>
      </c>
      <c r="C22" s="2">
        <f>'WC def tax 22'!O22</f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f t="shared" si="0"/>
        <v>0</v>
      </c>
      <c r="Q22" s="2">
        <f t="shared" si="1"/>
        <v>0</v>
      </c>
      <c r="R22" s="1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3"/>
    </row>
    <row r="23" spans="1:34" x14ac:dyDescent="0.25">
      <c r="A23" s="13" t="s">
        <v>55</v>
      </c>
      <c r="B23" s="13" t="s">
        <v>56</v>
      </c>
      <c r="C23" s="2">
        <f>'WC def tax 22'!O23</f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f t="shared" si="0"/>
        <v>0</v>
      </c>
      <c r="Q23" s="2">
        <f t="shared" si="1"/>
        <v>0</v>
      </c>
      <c r="R23" s="1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3"/>
    </row>
    <row r="24" spans="1:34" x14ac:dyDescent="0.25">
      <c r="A24" s="13" t="s">
        <v>57</v>
      </c>
      <c r="B24" s="13" t="s">
        <v>58</v>
      </c>
      <c r="C24" s="2">
        <f>'WC def tax 22'!O24</f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f t="shared" si="0"/>
        <v>0</v>
      </c>
      <c r="Q24" s="2">
        <f t="shared" si="1"/>
        <v>0</v>
      </c>
      <c r="R24" s="1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3"/>
    </row>
    <row r="25" spans="1:34" x14ac:dyDescent="0.25">
      <c r="A25" s="13" t="s">
        <v>59</v>
      </c>
      <c r="B25" s="13" t="s">
        <v>60</v>
      </c>
      <c r="C25" s="2">
        <f>'WC def tax 22'!O25</f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f t="shared" si="0"/>
        <v>0</v>
      </c>
      <c r="Q25" s="2">
        <f t="shared" si="1"/>
        <v>0</v>
      </c>
      <c r="R25" s="1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3"/>
    </row>
    <row r="26" spans="1:34" x14ac:dyDescent="0.25">
      <c r="A26" s="13" t="s">
        <v>61</v>
      </c>
      <c r="B26" s="13" t="s">
        <v>62</v>
      </c>
      <c r="C26" s="2">
        <f>'WC def tax 22'!O26</f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f t="shared" si="0"/>
        <v>0</v>
      </c>
      <c r="Q26" s="2">
        <f t="shared" si="1"/>
        <v>0</v>
      </c>
      <c r="R26" s="1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3"/>
    </row>
    <row r="27" spans="1:34" x14ac:dyDescent="0.25">
      <c r="A27" s="13" t="s">
        <v>63</v>
      </c>
      <c r="B27" s="13" t="s">
        <v>64</v>
      </c>
      <c r="C27" s="2">
        <f>'WC def tax 22'!O27</f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f t="shared" si="0"/>
        <v>0</v>
      </c>
      <c r="Q27" s="2">
        <f t="shared" si="1"/>
        <v>0</v>
      </c>
      <c r="R27" s="1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3"/>
    </row>
    <row r="28" spans="1:34" x14ac:dyDescent="0.25">
      <c r="A28" s="13" t="s">
        <v>65</v>
      </c>
      <c r="B28" s="13" t="s">
        <v>66</v>
      </c>
      <c r="C28" s="2">
        <f>'WC def tax 22'!O28</f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f t="shared" si="0"/>
        <v>0</v>
      </c>
      <c r="Q28" s="2">
        <f t="shared" si="1"/>
        <v>0</v>
      </c>
      <c r="R28" s="1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3"/>
    </row>
    <row r="29" spans="1:34" x14ac:dyDescent="0.25">
      <c r="C29" s="26" t="s">
        <v>67</v>
      </c>
      <c r="D29" s="26" t="s">
        <v>67</v>
      </c>
      <c r="E29" s="26" t="s">
        <v>67</v>
      </c>
      <c r="F29" s="26" t="s">
        <v>67</v>
      </c>
      <c r="G29" s="26" t="s">
        <v>67</v>
      </c>
      <c r="H29" s="26" t="s">
        <v>67</v>
      </c>
      <c r="I29" s="26" t="s">
        <v>67</v>
      </c>
      <c r="J29" s="26" t="s">
        <v>67</v>
      </c>
      <c r="K29" s="26" t="s">
        <v>67</v>
      </c>
      <c r="L29" s="26" t="s">
        <v>67</v>
      </c>
      <c r="M29" s="26" t="s">
        <v>67</v>
      </c>
      <c r="N29" s="26" t="s">
        <v>67</v>
      </c>
      <c r="O29" s="26" t="s">
        <v>67</v>
      </c>
      <c r="P29" s="26" t="s">
        <v>67</v>
      </c>
      <c r="Q29" s="26" t="s">
        <v>67</v>
      </c>
      <c r="R29" s="1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3"/>
    </row>
    <row r="30" spans="1:34" x14ac:dyDescent="0.25">
      <c r="A30" s="21" t="s">
        <v>68</v>
      </c>
      <c r="B30" s="22"/>
      <c r="C30" s="23">
        <f t="shared" ref="C30:Q30" si="2">SUM(C16:C28)</f>
        <v>12191005</v>
      </c>
      <c r="D30" s="23">
        <f t="shared" si="2"/>
        <v>12191005</v>
      </c>
      <c r="E30" s="23">
        <f t="shared" si="2"/>
        <v>12191005</v>
      </c>
      <c r="F30" s="23">
        <f t="shared" si="2"/>
        <v>12191005</v>
      </c>
      <c r="G30" s="23">
        <f t="shared" si="2"/>
        <v>12191005</v>
      </c>
      <c r="H30" s="23">
        <f t="shared" si="2"/>
        <v>12191005</v>
      </c>
      <c r="I30" s="23">
        <f t="shared" si="2"/>
        <v>12191005</v>
      </c>
      <c r="J30" s="23">
        <f t="shared" si="2"/>
        <v>12191005</v>
      </c>
      <c r="K30" s="23">
        <f t="shared" si="2"/>
        <v>12191005</v>
      </c>
      <c r="L30" s="23">
        <f t="shared" si="2"/>
        <v>12191005</v>
      </c>
      <c r="M30" s="23">
        <f t="shared" si="2"/>
        <v>12191005</v>
      </c>
      <c r="N30" s="23">
        <f t="shared" si="2"/>
        <v>12191005</v>
      </c>
      <c r="O30" s="23">
        <f t="shared" si="2"/>
        <v>12191005</v>
      </c>
      <c r="P30" s="23">
        <f t="shared" si="2"/>
        <v>158483065</v>
      </c>
      <c r="Q30" s="23">
        <f t="shared" si="2"/>
        <v>12191005</v>
      </c>
      <c r="R30" s="1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7"/>
    </row>
    <row r="31" spans="1:34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3"/>
    </row>
    <row r="32" spans="1:34" x14ac:dyDescent="0.25">
      <c r="A32" s="21" t="s">
        <v>69</v>
      </c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3"/>
    </row>
    <row r="33" spans="1:34" x14ac:dyDescent="0.25">
      <c r="A33" s="13" t="s">
        <v>70</v>
      </c>
      <c r="B33" s="13" t="s">
        <v>71</v>
      </c>
      <c r="C33" s="2">
        <f>'WC def tax 22'!O33</f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f>SUM(C33:O33)</f>
        <v>0</v>
      </c>
      <c r="Q33" s="2">
        <f>P33/13</f>
        <v>0</v>
      </c>
      <c r="R33" s="15"/>
      <c r="S33" s="25" t="s">
        <v>42</v>
      </c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3"/>
    </row>
    <row r="34" spans="1:34" x14ac:dyDescent="0.25">
      <c r="C34" s="26" t="s">
        <v>67</v>
      </c>
      <c r="D34" s="26" t="s">
        <v>67</v>
      </c>
      <c r="E34" s="26" t="s">
        <v>67</v>
      </c>
      <c r="F34" s="26" t="s">
        <v>67</v>
      </c>
      <c r="G34" s="26" t="s">
        <v>67</v>
      </c>
      <c r="H34" s="26" t="s">
        <v>67</v>
      </c>
      <c r="I34" s="26" t="s">
        <v>67</v>
      </c>
      <c r="J34" s="26" t="s">
        <v>67</v>
      </c>
      <c r="K34" s="26" t="s">
        <v>67</v>
      </c>
      <c r="L34" s="26" t="s">
        <v>67</v>
      </c>
      <c r="M34" s="26" t="s">
        <v>67</v>
      </c>
      <c r="N34" s="26" t="s">
        <v>67</v>
      </c>
      <c r="O34" s="26" t="s">
        <v>67</v>
      </c>
      <c r="P34" s="26" t="s">
        <v>67</v>
      </c>
      <c r="Q34" s="26" t="s">
        <v>67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3"/>
    </row>
    <row r="35" spans="1:34" x14ac:dyDescent="0.25">
      <c r="A35" s="21" t="s">
        <v>72</v>
      </c>
      <c r="B35" s="22"/>
      <c r="C35" s="23">
        <f>SUM(C33:C34)</f>
        <v>0</v>
      </c>
      <c r="D35" s="23">
        <f t="shared" ref="D35:Q35" si="3">SUM(D33:D34)</f>
        <v>0</v>
      </c>
      <c r="E35" s="23">
        <f t="shared" si="3"/>
        <v>0</v>
      </c>
      <c r="F35" s="23">
        <f t="shared" si="3"/>
        <v>0</v>
      </c>
      <c r="G35" s="23">
        <f t="shared" si="3"/>
        <v>0</v>
      </c>
      <c r="H35" s="23">
        <f t="shared" si="3"/>
        <v>0</v>
      </c>
      <c r="I35" s="23">
        <f t="shared" si="3"/>
        <v>0</v>
      </c>
      <c r="J35" s="23">
        <f t="shared" si="3"/>
        <v>0</v>
      </c>
      <c r="K35" s="23">
        <f t="shared" si="3"/>
        <v>0</v>
      </c>
      <c r="L35" s="23">
        <f t="shared" si="3"/>
        <v>0</v>
      </c>
      <c r="M35" s="23">
        <f t="shared" si="3"/>
        <v>0</v>
      </c>
      <c r="N35" s="23">
        <f t="shared" si="3"/>
        <v>0</v>
      </c>
      <c r="O35" s="23">
        <f t="shared" si="3"/>
        <v>0</v>
      </c>
      <c r="P35" s="23">
        <f t="shared" si="3"/>
        <v>0</v>
      </c>
      <c r="Q35" s="23">
        <f t="shared" si="3"/>
        <v>0</v>
      </c>
      <c r="R35" s="15">
        <f>SUM(T35:Y35)-Q35</f>
        <v>0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27"/>
    </row>
    <row r="36" spans="1:34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3"/>
    </row>
    <row r="37" spans="1:34" x14ac:dyDescent="0.25">
      <c r="A37" s="21" t="s">
        <v>73</v>
      </c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3"/>
    </row>
    <row r="38" spans="1:34" x14ac:dyDescent="0.25">
      <c r="A38" s="13" t="s">
        <v>74</v>
      </c>
      <c r="B38" s="13" t="s">
        <v>75</v>
      </c>
      <c r="C38" s="2">
        <f>'WC def tax 22'!O38</f>
        <v>-1482280.6930099721</v>
      </c>
      <c r="D38" s="64">
        <f>'FC Common pl 22'!H48</f>
        <v>-958959.83358416439</v>
      </c>
      <c r="E38" s="64">
        <f>'FC Common pl 22'!I48</f>
        <v>-1006534.4571683286</v>
      </c>
      <c r="F38" s="64">
        <f>'FC Common pl 22'!J48</f>
        <v>-1054109.0807524929</v>
      </c>
      <c r="G38" s="64">
        <f>'FC Common pl 22'!K48</f>
        <v>-1101683.7043366572</v>
      </c>
      <c r="H38" s="64">
        <f>'FC Common pl 22'!L48</f>
        <v>-1149258.3279208217</v>
      </c>
      <c r="I38" s="64">
        <f>'FC Common pl 22'!M48</f>
        <v>-1196832.9515049858</v>
      </c>
      <c r="J38" s="64">
        <f>'FC Common pl 22'!N48</f>
        <v>-1244407.5750891506</v>
      </c>
      <c r="K38" s="64">
        <f>'FC Common pl 22'!O48</f>
        <v>-1291982.1986733144</v>
      </c>
      <c r="L38" s="64">
        <f>'FC Common pl 22'!P48</f>
        <v>-1339556.822257479</v>
      </c>
      <c r="M38" s="64">
        <f>'FC Common pl 22'!Q48</f>
        <v>-1387131.4458416428</v>
      </c>
      <c r="N38" s="64">
        <f>'FC Common pl 22'!R48</f>
        <v>-1434706.0694258073</v>
      </c>
      <c r="O38" s="64">
        <f>'FC Common pl 22'!S48</f>
        <v>-1482280.6930099721</v>
      </c>
      <c r="P38" s="2">
        <f t="shared" ref="P38:P51" si="4">SUM(C38:O38)</f>
        <v>-16129723.852574788</v>
      </c>
      <c r="Q38" s="2">
        <f t="shared" ref="Q38:Q51" si="5">P38/13</f>
        <v>-1240747.9886595991</v>
      </c>
      <c r="R38" s="24"/>
      <c r="S38" s="25" t="s">
        <v>42</v>
      </c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3"/>
    </row>
    <row r="39" spans="1:34" x14ac:dyDescent="0.25">
      <c r="A39" s="13" t="s">
        <v>45</v>
      </c>
      <c r="B39" s="13" t="s">
        <v>76</v>
      </c>
      <c r="C39" s="2">
        <f>'WC def tax 22'!O39</f>
        <v>0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2">
        <f t="shared" si="4"/>
        <v>0</v>
      </c>
      <c r="Q39" s="2">
        <f t="shared" si="5"/>
        <v>0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3"/>
    </row>
    <row r="40" spans="1:34" x14ac:dyDescent="0.25">
      <c r="A40" s="13" t="s">
        <v>47</v>
      </c>
      <c r="B40" s="13" t="s">
        <v>77</v>
      </c>
      <c r="C40" s="2">
        <f>'WC def tax 22'!O40</f>
        <v>0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2">
        <f t="shared" si="4"/>
        <v>0</v>
      </c>
      <c r="Q40" s="2">
        <f t="shared" si="5"/>
        <v>0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3"/>
    </row>
    <row r="41" spans="1:34" x14ac:dyDescent="0.25">
      <c r="A41" s="13" t="s">
        <v>49</v>
      </c>
      <c r="B41" s="13" t="s">
        <v>78</v>
      </c>
      <c r="C41" s="2">
        <f>'WC def tax 22'!O41</f>
        <v>0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2">
        <f t="shared" si="4"/>
        <v>0</v>
      </c>
      <c r="Q41" s="2">
        <f t="shared" si="5"/>
        <v>0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3"/>
    </row>
    <row r="42" spans="1:34" x14ac:dyDescent="0.25">
      <c r="A42" s="13" t="s">
        <v>51</v>
      </c>
      <c r="B42" s="13" t="s">
        <v>79</v>
      </c>
      <c r="C42" s="2">
        <f>'WC def tax 22'!O42</f>
        <v>0</v>
      </c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2">
        <f t="shared" si="4"/>
        <v>0</v>
      </c>
      <c r="Q42" s="2">
        <f t="shared" si="5"/>
        <v>0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3"/>
    </row>
    <row r="43" spans="1:34" x14ac:dyDescent="0.25">
      <c r="A43" s="13" t="s">
        <v>53</v>
      </c>
      <c r="B43" s="13" t="s">
        <v>80</v>
      </c>
      <c r="C43" s="2">
        <f>'WC def tax 22'!O43</f>
        <v>0</v>
      </c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2">
        <f t="shared" si="4"/>
        <v>0</v>
      </c>
      <c r="Q43" s="2">
        <f t="shared" si="5"/>
        <v>0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3"/>
    </row>
    <row r="44" spans="1:34" x14ac:dyDescent="0.25">
      <c r="A44" s="13" t="s">
        <v>55</v>
      </c>
      <c r="B44" s="13" t="s">
        <v>81</v>
      </c>
      <c r="C44" s="2">
        <f>'WC def tax 22'!O44</f>
        <v>0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2">
        <f t="shared" si="4"/>
        <v>0</v>
      </c>
      <c r="Q44" s="2">
        <f t="shared" si="5"/>
        <v>0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3"/>
    </row>
    <row r="45" spans="1:34" x14ac:dyDescent="0.25">
      <c r="A45" s="13" t="s">
        <v>57</v>
      </c>
      <c r="B45" s="13" t="s">
        <v>82</v>
      </c>
      <c r="C45" s="2">
        <f>'WC def tax 22'!O45</f>
        <v>0</v>
      </c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2">
        <f t="shared" si="4"/>
        <v>0</v>
      </c>
      <c r="Q45" s="2">
        <f t="shared" si="5"/>
        <v>0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3"/>
    </row>
    <row r="46" spans="1:34" x14ac:dyDescent="0.25">
      <c r="A46" s="13" t="s">
        <v>59</v>
      </c>
      <c r="B46" s="13" t="s">
        <v>83</v>
      </c>
      <c r="C46" s="2">
        <f>'WC def tax 22'!O46</f>
        <v>0</v>
      </c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2">
        <f t="shared" si="4"/>
        <v>0</v>
      </c>
      <c r="Q46" s="2">
        <f t="shared" si="5"/>
        <v>0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3"/>
    </row>
    <row r="47" spans="1:34" x14ac:dyDescent="0.25">
      <c r="A47" s="13" t="s">
        <v>61</v>
      </c>
      <c r="B47" s="13" t="s">
        <v>84</v>
      </c>
      <c r="C47" s="2">
        <f>'WC def tax 22'!O47</f>
        <v>0</v>
      </c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2">
        <f t="shared" si="4"/>
        <v>0</v>
      </c>
      <c r="Q47" s="2">
        <f t="shared" si="5"/>
        <v>0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3"/>
    </row>
    <row r="48" spans="1:34" x14ac:dyDescent="0.25">
      <c r="A48" s="13" t="s">
        <v>63</v>
      </c>
      <c r="B48" s="13" t="s">
        <v>85</v>
      </c>
      <c r="C48" s="2">
        <f>'WC def tax 22'!O48</f>
        <v>0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2">
        <f t="shared" si="4"/>
        <v>0</v>
      </c>
      <c r="Q48" s="2">
        <f t="shared" si="5"/>
        <v>0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3"/>
    </row>
    <row r="49" spans="1:34" x14ac:dyDescent="0.25">
      <c r="A49" s="140" t="s">
        <v>86</v>
      </c>
      <c r="B49" s="140" t="s">
        <v>87</v>
      </c>
      <c r="C49" s="2">
        <f>'WC def tax 22'!O49</f>
        <v>0</v>
      </c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2">
        <f t="shared" si="4"/>
        <v>0</v>
      </c>
      <c r="Q49" s="2">
        <f t="shared" si="5"/>
        <v>0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3"/>
    </row>
    <row r="50" spans="1:34" x14ac:dyDescent="0.25">
      <c r="A50" s="140" t="s">
        <v>88</v>
      </c>
      <c r="B50" s="140" t="s">
        <v>89</v>
      </c>
      <c r="C50" s="2">
        <f>'WC def tax 22'!O50</f>
        <v>0</v>
      </c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2">
        <f t="shared" si="4"/>
        <v>0</v>
      </c>
      <c r="Q50" s="2">
        <f t="shared" si="5"/>
        <v>0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3"/>
    </row>
    <row r="51" spans="1:34" x14ac:dyDescent="0.25">
      <c r="A51" s="140" t="s">
        <v>90</v>
      </c>
      <c r="B51" s="140" t="s">
        <v>91</v>
      </c>
      <c r="C51" s="2">
        <f>'WC def tax 22'!O51</f>
        <v>0</v>
      </c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2">
        <f t="shared" si="4"/>
        <v>0</v>
      </c>
      <c r="Q51" s="2">
        <f t="shared" si="5"/>
        <v>0</v>
      </c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3"/>
    </row>
    <row r="52" spans="1:34" x14ac:dyDescent="0.25">
      <c r="C52" s="26" t="s">
        <v>67</v>
      </c>
      <c r="D52" s="26" t="s">
        <v>67</v>
      </c>
      <c r="E52" s="26" t="s">
        <v>67</v>
      </c>
      <c r="F52" s="26" t="s">
        <v>67</v>
      </c>
      <c r="G52" s="26" t="s">
        <v>67</v>
      </c>
      <c r="H52" s="26" t="s">
        <v>67</v>
      </c>
      <c r="I52" s="26" t="s">
        <v>67</v>
      </c>
      <c r="J52" s="26" t="s">
        <v>67</v>
      </c>
      <c r="K52" s="26" t="s">
        <v>67</v>
      </c>
      <c r="L52" s="26" t="s">
        <v>67</v>
      </c>
      <c r="M52" s="26" t="s">
        <v>67</v>
      </c>
      <c r="N52" s="26" t="s">
        <v>67</v>
      </c>
      <c r="O52" s="26" t="s">
        <v>67</v>
      </c>
      <c r="P52" s="26" t="s">
        <v>67</v>
      </c>
      <c r="Q52" s="26" t="s">
        <v>67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3"/>
    </row>
    <row r="53" spans="1:34" x14ac:dyDescent="0.25">
      <c r="A53" s="21" t="s">
        <v>92</v>
      </c>
      <c r="B53" s="22"/>
      <c r="C53" s="23">
        <f>SUM(C38:C51)</f>
        <v>-1482280.6930099721</v>
      </c>
      <c r="D53" s="23">
        <f t="shared" ref="D53:Q53" si="6">SUM(D38:D51)</f>
        <v>-958959.83358416439</v>
      </c>
      <c r="E53" s="23">
        <f t="shared" si="6"/>
        <v>-1006534.4571683286</v>
      </c>
      <c r="F53" s="23">
        <f t="shared" si="6"/>
        <v>-1054109.0807524929</v>
      </c>
      <c r="G53" s="23">
        <f t="shared" si="6"/>
        <v>-1101683.7043366572</v>
      </c>
      <c r="H53" s="23">
        <f t="shared" si="6"/>
        <v>-1149258.3279208217</v>
      </c>
      <c r="I53" s="23">
        <f t="shared" si="6"/>
        <v>-1196832.9515049858</v>
      </c>
      <c r="J53" s="23">
        <f t="shared" si="6"/>
        <v>-1244407.5750891506</v>
      </c>
      <c r="K53" s="23">
        <f t="shared" si="6"/>
        <v>-1291982.1986733144</v>
      </c>
      <c r="L53" s="23">
        <f t="shared" si="6"/>
        <v>-1339556.822257479</v>
      </c>
      <c r="M53" s="23">
        <f t="shared" si="6"/>
        <v>-1387131.4458416428</v>
      </c>
      <c r="N53" s="23">
        <f t="shared" si="6"/>
        <v>-1434706.0694258073</v>
      </c>
      <c r="O53" s="23">
        <f t="shared" si="6"/>
        <v>-1482280.6930099721</v>
      </c>
      <c r="P53" s="23">
        <f t="shared" si="6"/>
        <v>-16129723.852574788</v>
      </c>
      <c r="Q53" s="23">
        <f t="shared" si="6"/>
        <v>-1240747.9886595991</v>
      </c>
      <c r="R53" s="15">
        <f>SUM(T53:Y53)-Q53</f>
        <v>1240747.9886595991</v>
      </c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27"/>
    </row>
    <row r="54" spans="1:34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3"/>
    </row>
    <row r="55" spans="1:34" ht="15.75" x14ac:dyDescent="0.3">
      <c r="A55" s="18" t="s">
        <v>93</v>
      </c>
      <c r="B55" s="19"/>
      <c r="C55" s="20">
        <f>C53+C35+C30</f>
        <v>10708724.306990027</v>
      </c>
      <c r="D55" s="20">
        <f t="shared" ref="D55:Q55" si="7">D53+D35+D30</f>
        <v>11232045.166415835</v>
      </c>
      <c r="E55" s="20">
        <f t="shared" si="7"/>
        <v>11184470.54283167</v>
      </c>
      <c r="F55" s="20">
        <f t="shared" si="7"/>
        <v>11136895.919247508</v>
      </c>
      <c r="G55" s="20">
        <f t="shared" si="7"/>
        <v>11089321.295663342</v>
      </c>
      <c r="H55" s="20">
        <f t="shared" si="7"/>
        <v>11041746.672079178</v>
      </c>
      <c r="I55" s="20">
        <f t="shared" si="7"/>
        <v>10994172.048495013</v>
      </c>
      <c r="J55" s="20">
        <f t="shared" si="7"/>
        <v>10946597.424910849</v>
      </c>
      <c r="K55" s="20">
        <f t="shared" si="7"/>
        <v>10899022.801326685</v>
      </c>
      <c r="L55" s="20">
        <f t="shared" si="7"/>
        <v>10851448.17774252</v>
      </c>
      <c r="M55" s="20">
        <f t="shared" si="7"/>
        <v>10803873.554158358</v>
      </c>
      <c r="N55" s="20">
        <f t="shared" si="7"/>
        <v>10756298.930574194</v>
      </c>
      <c r="O55" s="20">
        <f t="shared" si="7"/>
        <v>10708724.306990027</v>
      </c>
      <c r="P55" s="20">
        <f t="shared" si="7"/>
        <v>142353341.1474252</v>
      </c>
      <c r="Q55" s="20">
        <f t="shared" si="7"/>
        <v>10950257.0113404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3"/>
    </row>
    <row r="56" spans="1:34" ht="15.75" x14ac:dyDescent="0.3">
      <c r="A56" s="18" t="s">
        <v>94</v>
      </c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3"/>
    </row>
    <row r="57" spans="1:34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3"/>
    </row>
    <row r="58" spans="1:34" x14ac:dyDescent="0.25">
      <c r="A58" s="21" t="s">
        <v>95</v>
      </c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3"/>
    </row>
    <row r="59" spans="1:34" x14ac:dyDescent="0.25">
      <c r="A59" s="13" t="s">
        <v>96</v>
      </c>
      <c r="B59" s="13" t="s">
        <v>97</v>
      </c>
      <c r="C59" s="2">
        <f>'WC def tax 22'!O59</f>
        <v>19699280</v>
      </c>
      <c r="D59" s="2">
        <v>19699280</v>
      </c>
      <c r="E59" s="2">
        <v>19699280</v>
      </c>
      <c r="F59" s="2">
        <v>19699280</v>
      </c>
      <c r="G59" s="2">
        <v>19699280</v>
      </c>
      <c r="H59" s="2">
        <v>19699280</v>
      </c>
      <c r="I59" s="2">
        <v>19699280</v>
      </c>
      <c r="J59" s="2">
        <v>19699280</v>
      </c>
      <c r="K59" s="2">
        <v>19699280</v>
      </c>
      <c r="L59" s="2">
        <v>19699280</v>
      </c>
      <c r="M59" s="2">
        <v>19699280</v>
      </c>
      <c r="N59" s="2">
        <v>19699280</v>
      </c>
      <c r="O59" s="2">
        <v>19699280</v>
      </c>
      <c r="P59" s="2">
        <f t="shared" ref="P59:P64" si="8">SUM(C59:O59)</f>
        <v>256090640</v>
      </c>
      <c r="Q59" s="2">
        <f t="shared" ref="Q59:Q64" si="9">P59/13</f>
        <v>19699280</v>
      </c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3"/>
    </row>
    <row r="60" spans="1:34" x14ac:dyDescent="0.25">
      <c r="A60" s="13" t="s">
        <v>98</v>
      </c>
      <c r="B60" s="13" t="s">
        <v>99</v>
      </c>
      <c r="C60" s="2">
        <f>'WC def tax 22'!O60</f>
        <v>9502865</v>
      </c>
      <c r="D60" s="2">
        <v>9502865</v>
      </c>
      <c r="E60" s="2">
        <v>9502865</v>
      </c>
      <c r="F60" s="2">
        <v>9502865</v>
      </c>
      <c r="G60" s="2">
        <v>9502865</v>
      </c>
      <c r="H60" s="2">
        <v>9502865</v>
      </c>
      <c r="I60" s="2">
        <v>9502865</v>
      </c>
      <c r="J60" s="2">
        <v>9502865</v>
      </c>
      <c r="K60" s="2">
        <v>9502865</v>
      </c>
      <c r="L60" s="2">
        <v>9502865</v>
      </c>
      <c r="M60" s="2">
        <v>9502865</v>
      </c>
      <c r="N60" s="2">
        <v>9502865</v>
      </c>
      <c r="O60" s="2">
        <v>9502865</v>
      </c>
      <c r="P60" s="2">
        <f t="shared" si="8"/>
        <v>123537245</v>
      </c>
      <c r="Q60" s="2">
        <f t="shared" si="9"/>
        <v>9502865</v>
      </c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3"/>
    </row>
    <row r="61" spans="1:34" x14ac:dyDescent="0.25">
      <c r="A61" s="13" t="s">
        <v>100</v>
      </c>
      <c r="B61" s="13" t="s">
        <v>101</v>
      </c>
      <c r="C61" s="2">
        <f>'WC def tax 22'!O61</f>
        <v>-234850</v>
      </c>
      <c r="D61" s="2">
        <v>-234850</v>
      </c>
      <c r="E61" s="2">
        <v>-234850</v>
      </c>
      <c r="F61" s="2">
        <v>-234850</v>
      </c>
      <c r="G61" s="2">
        <v>-234850</v>
      </c>
      <c r="H61" s="2">
        <v>-234850</v>
      </c>
      <c r="I61" s="2">
        <v>-234850</v>
      </c>
      <c r="J61" s="2">
        <v>-234850</v>
      </c>
      <c r="K61" s="2">
        <v>-234850</v>
      </c>
      <c r="L61" s="2">
        <v>-234850</v>
      </c>
      <c r="M61" s="2">
        <v>-234850</v>
      </c>
      <c r="N61" s="2">
        <v>-234850</v>
      </c>
      <c r="O61" s="2">
        <v>-234850</v>
      </c>
      <c r="P61" s="2">
        <f t="shared" si="8"/>
        <v>-3053050</v>
      </c>
      <c r="Q61" s="2">
        <f t="shared" si="9"/>
        <v>-234850</v>
      </c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3"/>
    </row>
    <row r="62" spans="1:34" x14ac:dyDescent="0.25">
      <c r="A62" s="13" t="s">
        <v>102</v>
      </c>
      <c r="B62" s="13" t="s">
        <v>103</v>
      </c>
      <c r="C62" s="2">
        <f>'WC def tax 22'!O62</f>
        <v>2980568</v>
      </c>
      <c r="D62" s="2">
        <v>2980568</v>
      </c>
      <c r="E62" s="2">
        <v>2980568</v>
      </c>
      <c r="F62" s="2">
        <v>2980568</v>
      </c>
      <c r="G62" s="2">
        <v>2980568</v>
      </c>
      <c r="H62" s="2">
        <v>2980568</v>
      </c>
      <c r="I62" s="2">
        <v>2980568</v>
      </c>
      <c r="J62" s="2">
        <v>2980568</v>
      </c>
      <c r="K62" s="2">
        <v>2980568</v>
      </c>
      <c r="L62" s="2">
        <v>2980568</v>
      </c>
      <c r="M62" s="2">
        <v>2980568</v>
      </c>
      <c r="N62" s="2">
        <v>2980568</v>
      </c>
      <c r="O62" s="2">
        <v>2980568</v>
      </c>
      <c r="P62" s="2">
        <f t="shared" si="8"/>
        <v>38747384</v>
      </c>
      <c r="Q62" s="2">
        <f t="shared" si="9"/>
        <v>2980568</v>
      </c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3"/>
    </row>
    <row r="63" spans="1:34" x14ac:dyDescent="0.25">
      <c r="A63" s="13" t="s">
        <v>104</v>
      </c>
      <c r="B63" s="13" t="s">
        <v>105</v>
      </c>
      <c r="C63" s="2">
        <f>'WC def tax 22'!O63</f>
        <v>77756946</v>
      </c>
      <c r="D63" s="2">
        <v>77756946</v>
      </c>
      <c r="E63" s="2">
        <v>77756946</v>
      </c>
      <c r="F63" s="2">
        <v>77756946</v>
      </c>
      <c r="G63" s="2">
        <v>77756946</v>
      </c>
      <c r="H63" s="2">
        <v>77756946</v>
      </c>
      <c r="I63" s="2">
        <v>77756946</v>
      </c>
      <c r="J63" s="2">
        <v>77756946</v>
      </c>
      <c r="K63" s="2">
        <v>77756946</v>
      </c>
      <c r="L63" s="2">
        <v>77756946</v>
      </c>
      <c r="M63" s="2">
        <v>77756946</v>
      </c>
      <c r="N63" s="2">
        <v>77756946</v>
      </c>
      <c r="O63" s="2">
        <v>77756946</v>
      </c>
      <c r="P63" s="2">
        <f t="shared" si="8"/>
        <v>1010840298</v>
      </c>
      <c r="Q63" s="2">
        <f t="shared" si="9"/>
        <v>77756946</v>
      </c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3"/>
    </row>
    <row r="64" spans="1:34" x14ac:dyDescent="0.25">
      <c r="A64" s="13" t="s">
        <v>106</v>
      </c>
      <c r="B64" s="13" t="s">
        <v>107</v>
      </c>
      <c r="C64" s="2">
        <f>'WC def tax 22'!O64</f>
        <v>-388179</v>
      </c>
      <c r="D64" s="2">
        <v>-388179</v>
      </c>
      <c r="E64" s="2">
        <v>-388179</v>
      </c>
      <c r="F64" s="2">
        <v>-388179</v>
      </c>
      <c r="G64" s="2">
        <v>-388179</v>
      </c>
      <c r="H64" s="2">
        <v>-388179</v>
      </c>
      <c r="I64" s="2">
        <v>-388179</v>
      </c>
      <c r="J64" s="2">
        <v>-388179</v>
      </c>
      <c r="K64" s="2">
        <v>-388179</v>
      </c>
      <c r="L64" s="2">
        <v>-388179</v>
      </c>
      <c r="M64" s="2">
        <v>-388179</v>
      </c>
      <c r="N64" s="2">
        <v>-388179</v>
      </c>
      <c r="O64" s="2">
        <v>-388179</v>
      </c>
      <c r="P64" s="2">
        <f t="shared" si="8"/>
        <v>-5046327</v>
      </c>
      <c r="Q64" s="2">
        <f t="shared" si="9"/>
        <v>-388179</v>
      </c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3"/>
    </row>
    <row r="65" spans="1:34" x14ac:dyDescent="0.25">
      <c r="C65" s="26" t="s">
        <v>67</v>
      </c>
      <c r="D65" s="26" t="s">
        <v>67</v>
      </c>
      <c r="E65" s="26" t="s">
        <v>67</v>
      </c>
      <c r="F65" s="26" t="s">
        <v>67</v>
      </c>
      <c r="G65" s="26" t="s">
        <v>67</v>
      </c>
      <c r="H65" s="26" t="s">
        <v>67</v>
      </c>
      <c r="I65" s="26" t="s">
        <v>67</v>
      </c>
      <c r="J65" s="26" t="s">
        <v>67</v>
      </c>
      <c r="K65" s="26" t="s">
        <v>67</v>
      </c>
      <c r="L65" s="26" t="s">
        <v>67</v>
      </c>
      <c r="M65" s="26" t="s">
        <v>67</v>
      </c>
      <c r="N65" s="26" t="s">
        <v>67</v>
      </c>
      <c r="O65" s="26" t="s">
        <v>67</v>
      </c>
      <c r="P65" s="26" t="s">
        <v>67</v>
      </c>
      <c r="Q65" s="26" t="s">
        <v>67</v>
      </c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3"/>
    </row>
    <row r="66" spans="1:34" x14ac:dyDescent="0.25">
      <c r="A66" s="21" t="s">
        <v>108</v>
      </c>
      <c r="B66" s="22"/>
      <c r="C66" s="23">
        <f>SUM(C59:C64)</f>
        <v>109316630</v>
      </c>
      <c r="D66" s="23">
        <f t="shared" ref="D66:P66" si="10">SUM(D59:D64)</f>
        <v>109316630</v>
      </c>
      <c r="E66" s="23">
        <f t="shared" si="10"/>
        <v>109316630</v>
      </c>
      <c r="F66" s="23">
        <f t="shared" si="10"/>
        <v>109316630</v>
      </c>
      <c r="G66" s="23">
        <f t="shared" si="10"/>
        <v>109316630</v>
      </c>
      <c r="H66" s="23">
        <f t="shared" si="10"/>
        <v>109316630</v>
      </c>
      <c r="I66" s="23">
        <f t="shared" si="10"/>
        <v>109316630</v>
      </c>
      <c r="J66" s="23">
        <f t="shared" si="10"/>
        <v>109316630</v>
      </c>
      <c r="K66" s="23">
        <f t="shared" si="10"/>
        <v>109316630</v>
      </c>
      <c r="L66" s="23">
        <f t="shared" si="10"/>
        <v>109316630</v>
      </c>
      <c r="M66" s="23">
        <f t="shared" si="10"/>
        <v>109316630</v>
      </c>
      <c r="N66" s="23">
        <f t="shared" si="10"/>
        <v>109316630</v>
      </c>
      <c r="O66" s="23">
        <f t="shared" si="10"/>
        <v>109316630</v>
      </c>
      <c r="P66" s="23">
        <f t="shared" si="10"/>
        <v>1421116190</v>
      </c>
      <c r="Q66" s="23">
        <v>109316630</v>
      </c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3"/>
    </row>
    <row r="67" spans="1:34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3"/>
    </row>
    <row r="68" spans="1:34" ht="15.75" x14ac:dyDescent="0.3">
      <c r="A68" s="18" t="s">
        <v>109</v>
      </c>
      <c r="B68" s="19"/>
      <c r="C68" s="20">
        <f>C66</f>
        <v>109316630</v>
      </c>
      <c r="D68" s="20">
        <f t="shared" ref="D68:Q68" si="11">D66</f>
        <v>109316630</v>
      </c>
      <c r="E68" s="20">
        <f t="shared" si="11"/>
        <v>109316630</v>
      </c>
      <c r="F68" s="20">
        <f t="shared" si="11"/>
        <v>109316630</v>
      </c>
      <c r="G68" s="20">
        <f t="shared" si="11"/>
        <v>109316630</v>
      </c>
      <c r="H68" s="20">
        <f t="shared" si="11"/>
        <v>109316630</v>
      </c>
      <c r="I68" s="20">
        <f t="shared" si="11"/>
        <v>109316630</v>
      </c>
      <c r="J68" s="20">
        <f t="shared" si="11"/>
        <v>109316630</v>
      </c>
      <c r="K68" s="20">
        <f t="shared" si="11"/>
        <v>109316630</v>
      </c>
      <c r="L68" s="20">
        <f t="shared" si="11"/>
        <v>109316630</v>
      </c>
      <c r="M68" s="20">
        <f t="shared" si="11"/>
        <v>109316630</v>
      </c>
      <c r="N68" s="20">
        <f t="shared" si="11"/>
        <v>109316630</v>
      </c>
      <c r="O68" s="20">
        <f t="shared" si="11"/>
        <v>109316630</v>
      </c>
      <c r="P68" s="20">
        <f t="shared" si="11"/>
        <v>1421116190</v>
      </c>
      <c r="Q68" s="20">
        <f t="shared" si="11"/>
        <v>109316630</v>
      </c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3"/>
    </row>
    <row r="69" spans="1:34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3"/>
    </row>
    <row r="70" spans="1:34" ht="15.75" x14ac:dyDescent="0.3">
      <c r="A70" s="18" t="s">
        <v>110</v>
      </c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3"/>
    </row>
    <row r="71" spans="1:34" x14ac:dyDescent="0.2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3"/>
    </row>
    <row r="72" spans="1:34" x14ac:dyDescent="0.25">
      <c r="A72" s="21" t="s">
        <v>111</v>
      </c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3"/>
    </row>
    <row r="73" spans="1:34" x14ac:dyDescent="0.25">
      <c r="A73" s="13" t="s">
        <v>112</v>
      </c>
      <c r="B73" s="13" t="s">
        <v>113</v>
      </c>
      <c r="C73" s="2">
        <f>'WC def tax 22'!O73</f>
        <v>0</v>
      </c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2">
        <f t="shared" ref="P73:P77" si="12">SUM(C73:O73)</f>
        <v>0</v>
      </c>
      <c r="Q73" s="2">
        <f t="shared" ref="Q73:Q76" si="13">P73/13</f>
        <v>0</v>
      </c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3"/>
    </row>
    <row r="74" spans="1:34" x14ac:dyDescent="0.25">
      <c r="A74" s="13" t="s">
        <v>114</v>
      </c>
      <c r="B74" s="13" t="s">
        <v>115</v>
      </c>
      <c r="C74" s="2">
        <f>'WC def tax 22'!O74</f>
        <v>0</v>
      </c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2">
        <f t="shared" si="12"/>
        <v>0</v>
      </c>
      <c r="Q74" s="2">
        <f t="shared" si="13"/>
        <v>0</v>
      </c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3"/>
    </row>
    <row r="75" spans="1:34" x14ac:dyDescent="0.25">
      <c r="A75" s="13" t="s">
        <v>116</v>
      </c>
      <c r="B75" s="13" t="s">
        <v>117</v>
      </c>
      <c r="C75" s="2">
        <f>'WC def tax 22'!O75</f>
        <v>0</v>
      </c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2">
        <f t="shared" si="12"/>
        <v>0</v>
      </c>
      <c r="Q75" s="2">
        <f t="shared" si="13"/>
        <v>0</v>
      </c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3"/>
    </row>
    <row r="76" spans="1:34" x14ac:dyDescent="0.25">
      <c r="A76" s="13" t="s">
        <v>118</v>
      </c>
      <c r="B76" s="13" t="s">
        <v>119</v>
      </c>
      <c r="C76" s="2">
        <f>'WC def tax 22'!O76</f>
        <v>0</v>
      </c>
      <c r="D76" s="153">
        <v>13164.789999999921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53">
        <v>0</v>
      </c>
      <c r="O76" s="153">
        <v>0</v>
      </c>
      <c r="P76" s="2">
        <f t="shared" si="12"/>
        <v>13164.789999999921</v>
      </c>
      <c r="Q76" s="2">
        <f t="shared" si="13"/>
        <v>1012.6761538461477</v>
      </c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3"/>
    </row>
    <row r="77" spans="1:34" x14ac:dyDescent="0.25">
      <c r="A77" s="30" t="s">
        <v>120</v>
      </c>
      <c r="B77" s="31"/>
      <c r="C77" s="2">
        <f>'WC def tax 22'!O77</f>
        <v>0</v>
      </c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24">
        <f t="shared" si="12"/>
        <v>0</v>
      </c>
      <c r="Q77" s="32">
        <f>+P77/13</f>
        <v>0</v>
      </c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4"/>
    </row>
    <row r="78" spans="1:34" x14ac:dyDescent="0.25">
      <c r="A78" s="35"/>
      <c r="B78" s="35"/>
      <c r="C78" s="36" t="s">
        <v>67</v>
      </c>
      <c r="D78" s="36" t="s">
        <v>67</v>
      </c>
      <c r="E78" s="36" t="s">
        <v>67</v>
      </c>
      <c r="F78" s="36" t="s">
        <v>67</v>
      </c>
      <c r="G78" s="36" t="s">
        <v>67</v>
      </c>
      <c r="H78" s="36" t="s">
        <v>67</v>
      </c>
      <c r="I78" s="36" t="s">
        <v>67</v>
      </c>
      <c r="J78" s="36" t="s">
        <v>67</v>
      </c>
      <c r="K78" s="36" t="s">
        <v>67</v>
      </c>
      <c r="L78" s="36" t="s">
        <v>67</v>
      </c>
      <c r="M78" s="36" t="s">
        <v>67</v>
      </c>
      <c r="N78" s="36" t="s">
        <v>67</v>
      </c>
      <c r="O78" s="36" t="s">
        <v>67</v>
      </c>
      <c r="P78" s="36" t="s">
        <v>67</v>
      </c>
      <c r="Q78" s="36" t="s">
        <v>67</v>
      </c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3"/>
    </row>
    <row r="79" spans="1:34" x14ac:dyDescent="0.25">
      <c r="A79" s="37" t="s">
        <v>121</v>
      </c>
      <c r="B79" s="38"/>
      <c r="C79" s="39">
        <f>SUM(C73:C77)</f>
        <v>0</v>
      </c>
      <c r="D79" s="39">
        <f t="shared" ref="D79:Q79" si="14">SUM(D73:D77)</f>
        <v>13164.789999999921</v>
      </c>
      <c r="E79" s="39">
        <f t="shared" si="14"/>
        <v>0</v>
      </c>
      <c r="F79" s="39">
        <f t="shared" si="14"/>
        <v>0</v>
      </c>
      <c r="G79" s="39">
        <f t="shared" si="14"/>
        <v>0</v>
      </c>
      <c r="H79" s="39">
        <f t="shared" si="14"/>
        <v>0</v>
      </c>
      <c r="I79" s="39">
        <f t="shared" si="14"/>
        <v>0</v>
      </c>
      <c r="J79" s="39">
        <f t="shared" si="14"/>
        <v>0</v>
      </c>
      <c r="K79" s="39">
        <f t="shared" si="14"/>
        <v>0</v>
      </c>
      <c r="L79" s="39">
        <f t="shared" si="14"/>
        <v>0</v>
      </c>
      <c r="M79" s="39">
        <f t="shared" si="14"/>
        <v>0</v>
      </c>
      <c r="N79" s="39">
        <f t="shared" si="14"/>
        <v>0</v>
      </c>
      <c r="O79" s="39">
        <f t="shared" si="14"/>
        <v>0</v>
      </c>
      <c r="P79" s="39">
        <f t="shared" si="14"/>
        <v>13164.789999999921</v>
      </c>
      <c r="Q79" s="39">
        <f t="shared" si="14"/>
        <v>1012.6761538461477</v>
      </c>
      <c r="R79" s="15">
        <f>SUM(T79:Y79)-Q79</f>
        <v>0</v>
      </c>
      <c r="S79" s="15" t="s">
        <v>16</v>
      </c>
      <c r="T79" s="15">
        <f>$Q79*T$5</f>
        <v>215.70002076922947</v>
      </c>
      <c r="U79" s="15">
        <f t="shared" ref="U79:Y79" si="15">$Q79*U$5</f>
        <v>352.41130153845938</v>
      </c>
      <c r="V79" s="15">
        <f t="shared" si="15"/>
        <v>145.82536615384527</v>
      </c>
      <c r="W79" s="15">
        <f t="shared" si="15"/>
        <v>1.0126761538461477</v>
      </c>
      <c r="X79" s="15">
        <f t="shared" si="15"/>
        <v>1.0126761538461477</v>
      </c>
      <c r="Y79" s="15">
        <f t="shared" si="15"/>
        <v>296.71411307692125</v>
      </c>
      <c r="Z79" s="15"/>
      <c r="AA79" s="15" t="s">
        <v>16</v>
      </c>
      <c r="AB79" s="15">
        <f>$O79*AB$5</f>
        <v>0</v>
      </c>
      <c r="AC79" s="15">
        <f t="shared" ref="AC79:AG79" si="16">$O79*AC$5</f>
        <v>0</v>
      </c>
      <c r="AD79" s="15">
        <f t="shared" si="16"/>
        <v>0</v>
      </c>
      <c r="AE79" s="15">
        <f t="shared" si="16"/>
        <v>0</v>
      </c>
      <c r="AF79" s="15">
        <f t="shared" si="16"/>
        <v>0</v>
      </c>
      <c r="AG79" s="15">
        <f t="shared" si="16"/>
        <v>0</v>
      </c>
      <c r="AH79" s="27">
        <f>SUM(AB79:AG79)-O79</f>
        <v>0</v>
      </c>
    </row>
    <row r="80" spans="1:34" x14ac:dyDescent="0.25">
      <c r="A80" s="35"/>
      <c r="B80" s="35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3"/>
    </row>
    <row r="81" spans="1:34" x14ac:dyDescent="0.25">
      <c r="A81" s="21" t="s">
        <v>122</v>
      </c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3"/>
    </row>
    <row r="82" spans="1:34" x14ac:dyDescent="0.25">
      <c r="A82" s="13" t="s">
        <v>123</v>
      </c>
      <c r="B82" s="13" t="s">
        <v>124</v>
      </c>
      <c r="C82" s="2">
        <f>'WC def tax 22'!O82</f>
        <v>0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2">
        <f t="shared" ref="P82:P84" si="17">SUM(C82:O82)</f>
        <v>0</v>
      </c>
      <c r="Q82" s="2">
        <f t="shared" ref="Q82:Q84" si="18">P82/13</f>
        <v>0</v>
      </c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3"/>
    </row>
    <row r="83" spans="1:34" x14ac:dyDescent="0.25">
      <c r="A83" s="13" t="s">
        <v>125</v>
      </c>
      <c r="B83" s="13" t="s">
        <v>126</v>
      </c>
      <c r="C83" s="2">
        <f>'WC def tax 22'!O83</f>
        <v>0</v>
      </c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2">
        <f t="shared" si="17"/>
        <v>0</v>
      </c>
      <c r="Q83" s="2">
        <f t="shared" si="18"/>
        <v>0</v>
      </c>
      <c r="R83" s="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x14ac:dyDescent="0.25">
      <c r="A84" s="13" t="s">
        <v>127</v>
      </c>
      <c r="B84" s="13" t="s">
        <v>128</v>
      </c>
      <c r="C84" s="2">
        <f>'WC def tax 22'!O84</f>
        <v>0</v>
      </c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2">
        <f t="shared" si="17"/>
        <v>0</v>
      </c>
      <c r="Q84" s="2">
        <f t="shared" si="18"/>
        <v>0</v>
      </c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3"/>
    </row>
    <row r="85" spans="1:34" x14ac:dyDescent="0.25">
      <c r="C85" s="26" t="s">
        <v>67</v>
      </c>
      <c r="D85" s="26" t="s">
        <v>67</v>
      </c>
      <c r="E85" s="26" t="s">
        <v>67</v>
      </c>
      <c r="F85" s="26" t="s">
        <v>67</v>
      </c>
      <c r="G85" s="26" t="s">
        <v>67</v>
      </c>
      <c r="H85" s="26" t="s">
        <v>67</v>
      </c>
      <c r="I85" s="26" t="s">
        <v>67</v>
      </c>
      <c r="J85" s="26" t="s">
        <v>67</v>
      </c>
      <c r="K85" s="26" t="s">
        <v>67</v>
      </c>
      <c r="L85" s="26" t="s">
        <v>67</v>
      </c>
      <c r="M85" s="26" t="s">
        <v>67</v>
      </c>
      <c r="N85" s="26" t="s">
        <v>67</v>
      </c>
      <c r="O85" s="26" t="s">
        <v>67</v>
      </c>
      <c r="P85" s="26" t="s">
        <v>67</v>
      </c>
      <c r="Q85" s="26" t="s">
        <v>67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3"/>
    </row>
    <row r="86" spans="1:34" x14ac:dyDescent="0.25">
      <c r="A86" s="21" t="s">
        <v>129</v>
      </c>
      <c r="B86" s="22"/>
      <c r="C86" s="23">
        <f>SUM(C82:C84)</f>
        <v>0</v>
      </c>
      <c r="D86" s="23">
        <f t="shared" ref="D86:Q86" si="19">SUM(D82:D84)</f>
        <v>0</v>
      </c>
      <c r="E86" s="23">
        <f t="shared" si="19"/>
        <v>0</v>
      </c>
      <c r="F86" s="23">
        <f t="shared" si="19"/>
        <v>0</v>
      </c>
      <c r="G86" s="23">
        <f t="shared" si="19"/>
        <v>0</v>
      </c>
      <c r="H86" s="23">
        <f t="shared" si="19"/>
        <v>0</v>
      </c>
      <c r="I86" s="23">
        <f t="shared" si="19"/>
        <v>0</v>
      </c>
      <c r="J86" s="23">
        <f t="shared" si="19"/>
        <v>0</v>
      </c>
      <c r="K86" s="23">
        <f t="shared" si="19"/>
        <v>0</v>
      </c>
      <c r="L86" s="23">
        <f t="shared" si="19"/>
        <v>0</v>
      </c>
      <c r="M86" s="23">
        <f t="shared" si="19"/>
        <v>0</v>
      </c>
      <c r="N86" s="23">
        <f t="shared" si="19"/>
        <v>0</v>
      </c>
      <c r="O86" s="23">
        <f t="shared" si="19"/>
        <v>0</v>
      </c>
      <c r="P86" s="23">
        <f t="shared" si="19"/>
        <v>0</v>
      </c>
      <c r="Q86" s="23">
        <f t="shared" si="19"/>
        <v>0</v>
      </c>
      <c r="R86" s="15">
        <f>SUM(T86:Y86)-Q86</f>
        <v>0</v>
      </c>
      <c r="S86" s="15" t="s">
        <v>16</v>
      </c>
      <c r="T86" s="15">
        <f t="shared" ref="T86:Y86" si="20">$Q86*T5</f>
        <v>0</v>
      </c>
      <c r="U86" s="15">
        <f t="shared" si="20"/>
        <v>0</v>
      </c>
      <c r="V86" s="15">
        <f t="shared" si="20"/>
        <v>0</v>
      </c>
      <c r="W86" s="15">
        <f t="shared" si="20"/>
        <v>0</v>
      </c>
      <c r="X86" s="15">
        <f t="shared" si="20"/>
        <v>0</v>
      </c>
      <c r="Y86" s="15">
        <f t="shared" si="20"/>
        <v>0</v>
      </c>
      <c r="Z86" s="15"/>
      <c r="AA86" s="15" t="s">
        <v>16</v>
      </c>
      <c r="AB86" s="15">
        <f t="shared" ref="AB86:AG86" si="21">$O86*AB$5</f>
        <v>0</v>
      </c>
      <c r="AC86" s="15">
        <f t="shared" si="21"/>
        <v>0</v>
      </c>
      <c r="AD86" s="15">
        <f t="shared" si="21"/>
        <v>0</v>
      </c>
      <c r="AE86" s="15">
        <f t="shared" si="21"/>
        <v>0</v>
      </c>
      <c r="AF86" s="15">
        <f t="shared" si="21"/>
        <v>0</v>
      </c>
      <c r="AG86" s="15">
        <f t="shared" si="21"/>
        <v>0</v>
      </c>
      <c r="AH86" s="27">
        <f>SUM(AB86:AG86)-O86</f>
        <v>0</v>
      </c>
    </row>
    <row r="87" spans="1:34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3"/>
    </row>
    <row r="88" spans="1:34" x14ac:dyDescent="0.25">
      <c r="A88" s="21" t="s">
        <v>130</v>
      </c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3"/>
    </row>
    <row r="89" spans="1:34" x14ac:dyDescent="0.25">
      <c r="A89" s="13" t="s">
        <v>131</v>
      </c>
      <c r="B89" s="13" t="s">
        <v>132</v>
      </c>
      <c r="C89" s="2">
        <f>'WC def tax 22'!O89</f>
        <v>0</v>
      </c>
      <c r="D89" s="64">
        <v>0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64">
        <v>0</v>
      </c>
      <c r="N89" s="64">
        <v>0</v>
      </c>
      <c r="O89" s="64">
        <v>0</v>
      </c>
      <c r="P89" s="2">
        <f t="shared" ref="P89:P90" si="22">SUM(C89:O89)</f>
        <v>0</v>
      </c>
      <c r="Q89" s="2">
        <f t="shared" ref="Q89:Q90" si="23">P89/13</f>
        <v>0</v>
      </c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3"/>
    </row>
    <row r="90" spans="1:34" x14ac:dyDescent="0.25">
      <c r="A90" s="13" t="s">
        <v>133</v>
      </c>
      <c r="B90" s="13" t="s">
        <v>134</v>
      </c>
      <c r="C90" s="2">
        <f>'WC def tax 22'!O90</f>
        <v>-671</v>
      </c>
      <c r="D90" s="64">
        <v>-671</v>
      </c>
      <c r="E90" s="64">
        <v>-671</v>
      </c>
      <c r="F90" s="64">
        <v>-671</v>
      </c>
      <c r="G90" s="64">
        <v>-671</v>
      </c>
      <c r="H90" s="64">
        <v>-671</v>
      </c>
      <c r="I90" s="64">
        <v>-671</v>
      </c>
      <c r="J90" s="64">
        <v>-671</v>
      </c>
      <c r="K90" s="64">
        <v>-671</v>
      </c>
      <c r="L90" s="64">
        <v>-671</v>
      </c>
      <c r="M90" s="64">
        <v>-671</v>
      </c>
      <c r="N90" s="64">
        <v>-671</v>
      </c>
      <c r="O90" s="64">
        <v>-671</v>
      </c>
      <c r="P90" s="2">
        <f t="shared" si="22"/>
        <v>-8723</v>
      </c>
      <c r="Q90" s="2">
        <f t="shared" si="23"/>
        <v>-671</v>
      </c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3"/>
    </row>
    <row r="91" spans="1:34" x14ac:dyDescent="0.25">
      <c r="C91" s="26" t="s">
        <v>67</v>
      </c>
      <c r="D91" s="26" t="s">
        <v>67</v>
      </c>
      <c r="E91" s="26" t="s">
        <v>67</v>
      </c>
      <c r="F91" s="26" t="s">
        <v>67</v>
      </c>
      <c r="G91" s="26" t="s">
        <v>67</v>
      </c>
      <c r="H91" s="26" t="s">
        <v>67</v>
      </c>
      <c r="I91" s="26" t="s">
        <v>67</v>
      </c>
      <c r="J91" s="26" t="s">
        <v>67</v>
      </c>
      <c r="K91" s="26" t="s">
        <v>67</v>
      </c>
      <c r="L91" s="26" t="s">
        <v>67</v>
      </c>
      <c r="M91" s="26" t="s">
        <v>67</v>
      </c>
      <c r="N91" s="26" t="s">
        <v>67</v>
      </c>
      <c r="O91" s="26" t="s">
        <v>67</v>
      </c>
      <c r="P91" s="26" t="s">
        <v>67</v>
      </c>
      <c r="Q91" s="26" t="s">
        <v>67</v>
      </c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3"/>
    </row>
    <row r="92" spans="1:34" x14ac:dyDescent="0.25">
      <c r="A92" s="21" t="s">
        <v>135</v>
      </c>
      <c r="B92" s="22"/>
      <c r="C92" s="23">
        <f>SUM(C89:C90)</f>
        <v>-671</v>
      </c>
      <c r="D92" s="23">
        <f t="shared" ref="D92:Q92" si="24">SUM(D89:D90)</f>
        <v>-671</v>
      </c>
      <c r="E92" s="23">
        <f t="shared" si="24"/>
        <v>-671</v>
      </c>
      <c r="F92" s="23">
        <f t="shared" si="24"/>
        <v>-671</v>
      </c>
      <c r="G92" s="23">
        <f t="shared" si="24"/>
        <v>-671</v>
      </c>
      <c r="H92" s="23">
        <f t="shared" si="24"/>
        <v>-671</v>
      </c>
      <c r="I92" s="23">
        <f t="shared" si="24"/>
        <v>-671</v>
      </c>
      <c r="J92" s="23">
        <f t="shared" si="24"/>
        <v>-671</v>
      </c>
      <c r="K92" s="23">
        <f t="shared" si="24"/>
        <v>-671</v>
      </c>
      <c r="L92" s="23">
        <f t="shared" si="24"/>
        <v>-671</v>
      </c>
      <c r="M92" s="23">
        <f t="shared" si="24"/>
        <v>-671</v>
      </c>
      <c r="N92" s="23">
        <f t="shared" si="24"/>
        <v>-671</v>
      </c>
      <c r="O92" s="23">
        <f t="shared" si="24"/>
        <v>-671</v>
      </c>
      <c r="P92" s="23">
        <f t="shared" si="24"/>
        <v>-8723</v>
      </c>
      <c r="Q92" s="23">
        <f t="shared" si="24"/>
        <v>-671</v>
      </c>
      <c r="R92" s="15">
        <f>SUM(T92:Y92)-Q92</f>
        <v>0</v>
      </c>
      <c r="S92" s="15" t="s">
        <v>16</v>
      </c>
      <c r="T92" s="15">
        <f t="shared" ref="T92:Y92" si="25">$Q92*T5</f>
        <v>-142.923</v>
      </c>
      <c r="U92" s="15">
        <f t="shared" si="25"/>
        <v>-233.50799999999998</v>
      </c>
      <c r="V92" s="15">
        <f t="shared" si="25"/>
        <v>-96.623999999999995</v>
      </c>
      <c r="W92" s="15">
        <f t="shared" si="25"/>
        <v>-0.67100000000000004</v>
      </c>
      <c r="X92" s="15">
        <f t="shared" si="25"/>
        <v>-0.67100000000000004</v>
      </c>
      <c r="Y92" s="15">
        <f t="shared" si="25"/>
        <v>-196.60299999999998</v>
      </c>
      <c r="Z92" s="15"/>
      <c r="AA92" s="15" t="s">
        <v>16</v>
      </c>
      <c r="AB92" s="15">
        <f t="shared" ref="AB92:AG92" si="26">$O92*AB$5</f>
        <v>-142.923</v>
      </c>
      <c r="AC92" s="15">
        <f t="shared" si="26"/>
        <v>-233.50799999999998</v>
      </c>
      <c r="AD92" s="15">
        <f t="shared" si="26"/>
        <v>-96.623999999999995</v>
      </c>
      <c r="AE92" s="15">
        <f t="shared" si="26"/>
        <v>-0.67100000000000004</v>
      </c>
      <c r="AF92" s="15">
        <f t="shared" si="26"/>
        <v>-0.67100000000000004</v>
      </c>
      <c r="AG92" s="15">
        <f t="shared" si="26"/>
        <v>-196.60299999999998</v>
      </c>
      <c r="AH92" s="27">
        <f>SUM(AB92:AG92)-O92</f>
        <v>0</v>
      </c>
    </row>
    <row r="93" spans="1:34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3"/>
    </row>
    <row r="94" spans="1:34" x14ac:dyDescent="0.25">
      <c r="A94" s="21" t="s">
        <v>136</v>
      </c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3"/>
    </row>
    <row r="95" spans="1:34" x14ac:dyDescent="0.25">
      <c r="A95" s="13" t="s">
        <v>137</v>
      </c>
      <c r="B95" s="13" t="s">
        <v>138</v>
      </c>
      <c r="C95" s="2">
        <f>'WC def tax 22'!O95</f>
        <v>0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2">
        <f t="shared" ref="P95:P130" si="27">SUM(C95:O95)</f>
        <v>0</v>
      </c>
      <c r="Q95" s="2">
        <f t="shared" ref="Q95:Q130" si="28">P95/13</f>
        <v>0</v>
      </c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3"/>
    </row>
    <row r="96" spans="1:34" x14ac:dyDescent="0.25">
      <c r="A96" s="13" t="s">
        <v>139</v>
      </c>
      <c r="B96" s="13" t="s">
        <v>140</v>
      </c>
      <c r="C96" s="2">
        <f>'WC def tax 22'!O96</f>
        <v>0</v>
      </c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2">
        <f t="shared" si="27"/>
        <v>0</v>
      </c>
      <c r="Q96" s="2">
        <f t="shared" si="28"/>
        <v>0</v>
      </c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3"/>
    </row>
    <row r="97" spans="1:34" x14ac:dyDescent="0.25">
      <c r="A97" s="13" t="s">
        <v>141</v>
      </c>
      <c r="B97" s="13" t="s">
        <v>142</v>
      </c>
      <c r="C97" s="2">
        <f>'WC def tax 22'!O97</f>
        <v>0</v>
      </c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2">
        <f t="shared" si="27"/>
        <v>0</v>
      </c>
      <c r="Q97" s="2">
        <f t="shared" si="28"/>
        <v>0</v>
      </c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3"/>
    </row>
    <row r="98" spans="1:34" x14ac:dyDescent="0.25">
      <c r="A98" s="13" t="s">
        <v>143</v>
      </c>
      <c r="B98" s="13" t="s">
        <v>144</v>
      </c>
      <c r="C98" s="2">
        <f>'WC def tax 22'!O98</f>
        <v>-59613529.06158489</v>
      </c>
      <c r="D98" s="158">
        <v>-59630013.516250312</v>
      </c>
      <c r="E98" s="158">
        <v>-59644441.020491593</v>
      </c>
      <c r="F98" s="158">
        <v>-59645010.592606731</v>
      </c>
      <c r="G98" s="158">
        <v>-59659438.096848011</v>
      </c>
      <c r="H98" s="158">
        <v>-59676951.026725501</v>
      </c>
      <c r="I98" s="158">
        <v>-59676492.123628564</v>
      </c>
      <c r="J98" s="158">
        <v>-59692366.296660602</v>
      </c>
      <c r="K98" s="158">
        <v>-59710337.248076655</v>
      </c>
      <c r="L98" s="158">
        <v>-59708939.995462358</v>
      </c>
      <c r="M98" s="158">
        <v>-59725862.557686403</v>
      </c>
      <c r="N98" s="158">
        <v>-59746586.869910449</v>
      </c>
      <c r="O98" s="158">
        <v>-59745189.617296152</v>
      </c>
      <c r="P98" s="2">
        <f t="shared" si="27"/>
        <v>-775875158.02322817</v>
      </c>
      <c r="Q98" s="2">
        <f t="shared" si="28"/>
        <v>-59682704.463325247</v>
      </c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3"/>
    </row>
    <row r="99" spans="1:34" x14ac:dyDescent="0.25">
      <c r="A99" s="13" t="s">
        <v>498</v>
      </c>
      <c r="B99" s="13"/>
      <c r="C99" s="2">
        <f>'WC def tax 22'!O99</f>
        <v>538449.46999988705</v>
      </c>
      <c r="D99" s="2">
        <v>70384.763584062457</v>
      </c>
      <c r="E99" s="2">
        <v>133769.17716822773</v>
      </c>
      <c r="F99" s="2">
        <v>183988.80075238645</v>
      </c>
      <c r="G99" s="2">
        <v>234208.42433656007</v>
      </c>
      <c r="H99" s="2">
        <v>284428.04792072624</v>
      </c>
      <c r="I99" s="2">
        <v>334647.67150488496</v>
      </c>
      <c r="J99" s="2">
        <v>384867.29508905113</v>
      </c>
      <c r="K99" s="2">
        <v>435086.91867322475</v>
      </c>
      <c r="L99" s="2">
        <v>485306.54225739837</v>
      </c>
      <c r="M99" s="2">
        <v>535526.16584155709</v>
      </c>
      <c r="N99" s="2">
        <v>585745.78942572325</v>
      </c>
      <c r="O99" s="2">
        <v>635965.41300989687</v>
      </c>
      <c r="P99" s="2">
        <f t="shared" si="27"/>
        <v>4842374.4795635864</v>
      </c>
      <c r="Q99" s="2">
        <f t="shared" si="28"/>
        <v>372490.34458181437</v>
      </c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3"/>
    </row>
    <row r="100" spans="1:34" x14ac:dyDescent="0.25">
      <c r="A100" s="13" t="s">
        <v>499</v>
      </c>
      <c r="B100" s="13"/>
      <c r="C100" s="2">
        <f>'WC def tax 22'!O100</f>
        <v>570895.69300997304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>
        <f t="shared" si="27"/>
        <v>570895.69300997304</v>
      </c>
      <c r="Q100" s="2">
        <f t="shared" si="28"/>
        <v>43915.053308459464</v>
      </c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3"/>
    </row>
    <row r="101" spans="1:34" x14ac:dyDescent="0.25">
      <c r="A101" s="13" t="s">
        <v>145</v>
      </c>
      <c r="B101" s="13" t="s">
        <v>146</v>
      </c>
      <c r="C101" s="2">
        <f>'WC def tax 22'!O102</f>
        <v>0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2">
        <f t="shared" si="27"/>
        <v>0</v>
      </c>
      <c r="Q101" s="2">
        <f t="shared" si="28"/>
        <v>0</v>
      </c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3"/>
    </row>
    <row r="102" spans="1:34" x14ac:dyDescent="0.25">
      <c r="A102" s="13" t="s">
        <v>147</v>
      </c>
      <c r="B102" s="13" t="s">
        <v>148</v>
      </c>
      <c r="C102" s="2">
        <f>'WC def tax 22'!O103</f>
        <v>0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2">
        <f t="shared" si="27"/>
        <v>0</v>
      </c>
      <c r="Q102" s="2">
        <f t="shared" si="28"/>
        <v>0</v>
      </c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3"/>
    </row>
    <row r="103" spans="1:34" x14ac:dyDescent="0.25">
      <c r="A103" s="13" t="s">
        <v>149</v>
      </c>
      <c r="B103" s="13" t="s">
        <v>150</v>
      </c>
      <c r="C103" s="2">
        <f>'WC def tax 22'!O104</f>
        <v>0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2">
        <f t="shared" si="27"/>
        <v>0</v>
      </c>
      <c r="Q103" s="2">
        <f t="shared" si="28"/>
        <v>0</v>
      </c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3"/>
    </row>
    <row r="104" spans="1:34" x14ac:dyDescent="0.25">
      <c r="A104" s="13" t="s">
        <v>151</v>
      </c>
      <c r="B104" s="13" t="s">
        <v>152</v>
      </c>
      <c r="C104" s="2">
        <f>'WC def tax 22'!O105</f>
        <v>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2">
        <f t="shared" si="27"/>
        <v>0</v>
      </c>
      <c r="Q104" s="2">
        <f t="shared" si="28"/>
        <v>0</v>
      </c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3"/>
    </row>
    <row r="105" spans="1:34" x14ac:dyDescent="0.25">
      <c r="A105" s="13" t="s">
        <v>153</v>
      </c>
      <c r="B105" s="13" t="s">
        <v>154</v>
      </c>
      <c r="C105" s="2">
        <f>'WC def tax 22'!O106</f>
        <v>0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2">
        <f t="shared" si="27"/>
        <v>0</v>
      </c>
      <c r="Q105" s="2">
        <f t="shared" si="28"/>
        <v>0</v>
      </c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3"/>
    </row>
    <row r="106" spans="1:34" x14ac:dyDescent="0.25">
      <c r="A106" s="13" t="s">
        <v>155</v>
      </c>
      <c r="B106" s="13" t="s">
        <v>156</v>
      </c>
      <c r="C106" s="2">
        <f>'WC def tax 22'!O107</f>
        <v>0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2">
        <f t="shared" si="27"/>
        <v>0</v>
      </c>
      <c r="Q106" s="2">
        <f t="shared" si="28"/>
        <v>0</v>
      </c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3"/>
    </row>
    <row r="107" spans="1:34" x14ac:dyDescent="0.25">
      <c r="A107" s="13" t="s">
        <v>157</v>
      </c>
      <c r="B107" s="13" t="s">
        <v>158</v>
      </c>
      <c r="C107" s="2">
        <f>'WC def tax 22'!O108</f>
        <v>0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2">
        <f t="shared" si="27"/>
        <v>0</v>
      </c>
      <c r="Q107" s="2">
        <f t="shared" si="28"/>
        <v>0</v>
      </c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3"/>
    </row>
    <row r="108" spans="1:34" x14ac:dyDescent="0.25">
      <c r="A108" s="13" t="s">
        <v>159</v>
      </c>
      <c r="B108" s="13" t="s">
        <v>160</v>
      </c>
      <c r="C108" s="2">
        <f>'WC def tax 22'!O109</f>
        <v>0</v>
      </c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2">
        <f t="shared" si="27"/>
        <v>0</v>
      </c>
      <c r="Q108" s="2">
        <f t="shared" si="28"/>
        <v>0</v>
      </c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3"/>
    </row>
    <row r="109" spans="1:34" x14ac:dyDescent="0.25">
      <c r="A109" s="13" t="s">
        <v>161</v>
      </c>
      <c r="B109" s="13" t="s">
        <v>162</v>
      </c>
      <c r="C109" s="2">
        <f>'WC def tax 22'!O110</f>
        <v>0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2">
        <f t="shared" si="27"/>
        <v>0</v>
      </c>
      <c r="Q109" s="2">
        <f t="shared" si="28"/>
        <v>0</v>
      </c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3"/>
    </row>
    <row r="110" spans="1:34" x14ac:dyDescent="0.25">
      <c r="A110" s="13" t="s">
        <v>163</v>
      </c>
      <c r="B110" s="13" t="s">
        <v>164</v>
      </c>
      <c r="C110" s="2">
        <f>'WC def tax 22'!O111</f>
        <v>0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2">
        <f t="shared" si="27"/>
        <v>0</v>
      </c>
      <c r="Q110" s="2">
        <f t="shared" si="28"/>
        <v>0</v>
      </c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3"/>
    </row>
    <row r="111" spans="1:34" x14ac:dyDescent="0.25">
      <c r="A111" s="13" t="s">
        <v>165</v>
      </c>
      <c r="B111" s="13" t="s">
        <v>166</v>
      </c>
      <c r="C111" s="2">
        <f>'WC def tax 22'!O112</f>
        <v>0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2">
        <f t="shared" si="27"/>
        <v>0</v>
      </c>
      <c r="Q111" s="2">
        <f t="shared" si="28"/>
        <v>0</v>
      </c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3"/>
    </row>
    <row r="112" spans="1:34" x14ac:dyDescent="0.25">
      <c r="A112" s="13" t="s">
        <v>167</v>
      </c>
      <c r="B112" s="13" t="s">
        <v>168</v>
      </c>
      <c r="C112" s="2">
        <f>'WC def tax 22'!O113</f>
        <v>0</v>
      </c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2">
        <f t="shared" si="27"/>
        <v>0</v>
      </c>
      <c r="Q112" s="2">
        <f t="shared" si="28"/>
        <v>0</v>
      </c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3"/>
    </row>
    <row r="113" spans="1:34" x14ac:dyDescent="0.25">
      <c r="A113" s="13" t="s">
        <v>169</v>
      </c>
      <c r="B113" s="13" t="s">
        <v>170</v>
      </c>
      <c r="C113" s="2">
        <f>'WC def tax 22'!O114</f>
        <v>0</v>
      </c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2">
        <f t="shared" si="27"/>
        <v>0</v>
      </c>
      <c r="Q113" s="2">
        <f t="shared" si="28"/>
        <v>0</v>
      </c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3"/>
    </row>
    <row r="114" spans="1:34" x14ac:dyDescent="0.25">
      <c r="A114" s="13" t="s">
        <v>171</v>
      </c>
      <c r="B114" s="13" t="s">
        <v>172</v>
      </c>
      <c r="C114" s="2">
        <f>'WC def tax 22'!O115</f>
        <v>0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2">
        <f t="shared" si="27"/>
        <v>0</v>
      </c>
      <c r="Q114" s="2">
        <f t="shared" si="28"/>
        <v>0</v>
      </c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3"/>
    </row>
    <row r="115" spans="1:34" x14ac:dyDescent="0.25">
      <c r="A115" s="13" t="s">
        <v>173</v>
      </c>
      <c r="B115" s="13" t="s">
        <v>174</v>
      </c>
      <c r="C115" s="2">
        <f>'WC def tax 22'!O116</f>
        <v>0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2">
        <f t="shared" si="27"/>
        <v>0</v>
      </c>
      <c r="Q115" s="2">
        <f t="shared" si="28"/>
        <v>0</v>
      </c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3"/>
    </row>
    <row r="116" spans="1:34" x14ac:dyDescent="0.25">
      <c r="A116" s="13" t="s">
        <v>175</v>
      </c>
      <c r="B116" s="13" t="s">
        <v>176</v>
      </c>
      <c r="C116" s="2">
        <f>'WC def tax 22'!O117</f>
        <v>0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2">
        <f t="shared" si="27"/>
        <v>0</v>
      </c>
      <c r="Q116" s="2">
        <f t="shared" si="28"/>
        <v>0</v>
      </c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3"/>
    </row>
    <row r="117" spans="1:34" x14ac:dyDescent="0.25">
      <c r="A117" s="13" t="s">
        <v>177</v>
      </c>
      <c r="B117" s="13" t="s">
        <v>178</v>
      </c>
      <c r="C117" s="2">
        <f>'WC def tax 22'!O118</f>
        <v>0</v>
      </c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2">
        <f t="shared" si="27"/>
        <v>0</v>
      </c>
      <c r="Q117" s="2">
        <f t="shared" si="28"/>
        <v>0</v>
      </c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3"/>
    </row>
    <row r="118" spans="1:34" x14ac:dyDescent="0.25">
      <c r="A118" s="13" t="s">
        <v>179</v>
      </c>
      <c r="B118" s="13" t="s">
        <v>180</v>
      </c>
      <c r="C118" s="2">
        <f>'WC def tax 22'!O119</f>
        <v>0</v>
      </c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2">
        <f t="shared" si="27"/>
        <v>0</v>
      </c>
      <c r="Q118" s="2">
        <f t="shared" si="28"/>
        <v>0</v>
      </c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3"/>
    </row>
    <row r="119" spans="1:34" x14ac:dyDescent="0.25">
      <c r="A119" s="13" t="s">
        <v>181</v>
      </c>
      <c r="B119" s="13" t="s">
        <v>182</v>
      </c>
      <c r="C119" s="2">
        <f>'WC def tax 22'!O120</f>
        <v>0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2">
        <f t="shared" si="27"/>
        <v>0</v>
      </c>
      <c r="Q119" s="2">
        <f t="shared" si="28"/>
        <v>0</v>
      </c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3"/>
    </row>
    <row r="120" spans="1:34" x14ac:dyDescent="0.25">
      <c r="A120" s="13" t="s">
        <v>183</v>
      </c>
      <c r="B120" s="13" t="s">
        <v>184</v>
      </c>
      <c r="C120" s="2">
        <f>'WC def tax 22'!O121</f>
        <v>0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2">
        <f t="shared" si="27"/>
        <v>0</v>
      </c>
      <c r="Q120" s="2">
        <f t="shared" si="28"/>
        <v>0</v>
      </c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3"/>
    </row>
    <row r="121" spans="1:34" x14ac:dyDescent="0.25">
      <c r="A121" s="13" t="s">
        <v>185</v>
      </c>
      <c r="B121" s="13" t="s">
        <v>186</v>
      </c>
      <c r="C121" s="2">
        <f>'WC def tax 22'!O122</f>
        <v>0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2">
        <f t="shared" si="27"/>
        <v>0</v>
      </c>
      <c r="Q121" s="2">
        <f t="shared" si="28"/>
        <v>0</v>
      </c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3"/>
    </row>
    <row r="122" spans="1:34" x14ac:dyDescent="0.25">
      <c r="A122" s="13" t="s">
        <v>187</v>
      </c>
      <c r="B122" s="13" t="s">
        <v>188</v>
      </c>
      <c r="C122" s="2">
        <f>'WC def tax 22'!O123</f>
        <v>0</v>
      </c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2">
        <f t="shared" si="27"/>
        <v>0</v>
      </c>
      <c r="Q122" s="2">
        <f t="shared" si="28"/>
        <v>0</v>
      </c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3"/>
    </row>
    <row r="123" spans="1:34" x14ac:dyDescent="0.25">
      <c r="A123" s="13" t="s">
        <v>189</v>
      </c>
      <c r="B123" s="13" t="s">
        <v>190</v>
      </c>
      <c r="C123" s="2">
        <f>'WC def tax 22'!O124</f>
        <v>0</v>
      </c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2">
        <f t="shared" si="27"/>
        <v>0</v>
      </c>
      <c r="Q123" s="2">
        <f t="shared" si="28"/>
        <v>0</v>
      </c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3"/>
    </row>
    <row r="124" spans="1:34" x14ac:dyDescent="0.25">
      <c r="A124" s="13" t="s">
        <v>191</v>
      </c>
      <c r="B124" s="13" t="s">
        <v>192</v>
      </c>
      <c r="C124" s="2">
        <f>'WC def tax 22'!O125</f>
        <v>0</v>
      </c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2">
        <f t="shared" si="27"/>
        <v>0</v>
      </c>
      <c r="Q124" s="2">
        <f t="shared" si="28"/>
        <v>0</v>
      </c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3"/>
    </row>
    <row r="125" spans="1:34" x14ac:dyDescent="0.25">
      <c r="A125" s="13" t="s">
        <v>193</v>
      </c>
      <c r="B125" s="13" t="s">
        <v>194</v>
      </c>
      <c r="C125" s="2">
        <f>'WC def tax 22'!O126</f>
        <v>0</v>
      </c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2">
        <f t="shared" si="27"/>
        <v>0</v>
      </c>
      <c r="Q125" s="2">
        <f t="shared" si="28"/>
        <v>0</v>
      </c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3"/>
    </row>
    <row r="126" spans="1:34" x14ac:dyDescent="0.25">
      <c r="A126" s="13" t="s">
        <v>195</v>
      </c>
      <c r="B126" s="13" t="s">
        <v>196</v>
      </c>
      <c r="C126" s="2">
        <f>'WC def tax 22'!O127</f>
        <v>0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2">
        <f t="shared" si="27"/>
        <v>0</v>
      </c>
      <c r="Q126" s="2">
        <f t="shared" si="28"/>
        <v>0</v>
      </c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3"/>
    </row>
    <row r="127" spans="1:34" x14ac:dyDescent="0.25">
      <c r="A127" s="13" t="s">
        <v>197</v>
      </c>
      <c r="B127" s="13" t="s">
        <v>198</v>
      </c>
      <c r="C127" s="2">
        <f>'WC def tax 22'!O128</f>
        <v>0</v>
      </c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2">
        <f t="shared" si="27"/>
        <v>0</v>
      </c>
      <c r="Q127" s="2">
        <f t="shared" si="28"/>
        <v>0</v>
      </c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3"/>
    </row>
    <row r="128" spans="1:34" x14ac:dyDescent="0.25">
      <c r="A128" s="13" t="s">
        <v>199</v>
      </c>
      <c r="B128" s="13" t="s">
        <v>200</v>
      </c>
      <c r="C128" s="2">
        <f>'WC def tax 22'!O129</f>
        <v>0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2">
        <f t="shared" si="27"/>
        <v>0</v>
      </c>
      <c r="Q128" s="2">
        <f t="shared" si="28"/>
        <v>0</v>
      </c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3"/>
    </row>
    <row r="129" spans="1:34" x14ac:dyDescent="0.25">
      <c r="A129" s="13" t="s">
        <v>201</v>
      </c>
      <c r="B129" s="13" t="s">
        <v>202</v>
      </c>
      <c r="C129" s="2">
        <f>'WC def tax 22'!O130</f>
        <v>0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2">
        <f t="shared" si="27"/>
        <v>0</v>
      </c>
      <c r="Q129" s="2">
        <f t="shared" si="28"/>
        <v>0</v>
      </c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3"/>
    </row>
    <row r="130" spans="1:34" x14ac:dyDescent="0.25">
      <c r="A130" s="13" t="s">
        <v>203</v>
      </c>
      <c r="B130" s="13" t="s">
        <v>204</v>
      </c>
      <c r="C130" s="2">
        <f>'WC def tax 22'!O131</f>
        <v>0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2">
        <f t="shared" si="27"/>
        <v>0</v>
      </c>
      <c r="Q130" s="2">
        <f t="shared" si="28"/>
        <v>0</v>
      </c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3"/>
    </row>
    <row r="131" spans="1:34" x14ac:dyDescent="0.25">
      <c r="C131" s="26" t="s">
        <v>67</v>
      </c>
      <c r="D131" s="26" t="s">
        <v>67</v>
      </c>
      <c r="E131" s="26" t="s">
        <v>67</v>
      </c>
      <c r="F131" s="26" t="s">
        <v>67</v>
      </c>
      <c r="G131" s="26" t="s">
        <v>67</v>
      </c>
      <c r="H131" s="26" t="s">
        <v>67</v>
      </c>
      <c r="I131" s="26" t="s">
        <v>67</v>
      </c>
      <c r="J131" s="26" t="s">
        <v>67</v>
      </c>
      <c r="K131" s="26" t="s">
        <v>67</v>
      </c>
      <c r="L131" s="26" t="s">
        <v>67</v>
      </c>
      <c r="M131" s="26" t="s">
        <v>67</v>
      </c>
      <c r="N131" s="26" t="s">
        <v>67</v>
      </c>
      <c r="O131" s="26" t="s">
        <v>67</v>
      </c>
      <c r="P131" s="26" t="s">
        <v>67</v>
      </c>
      <c r="Q131" s="26" t="s">
        <v>67</v>
      </c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3"/>
    </row>
    <row r="132" spans="1:34" x14ac:dyDescent="0.25">
      <c r="A132" s="21" t="s">
        <v>205</v>
      </c>
      <c r="B132" s="22"/>
      <c r="C132" s="23">
        <f>SUM(C95:C130)</f>
        <v>-58504183.89857503</v>
      </c>
      <c r="D132" s="23">
        <f t="shared" ref="D132:Q132" si="29">SUM(D95:D130)</f>
        <v>-59559628.75266625</v>
      </c>
      <c r="E132" s="23">
        <f t="shared" si="29"/>
        <v>-59510671.843323365</v>
      </c>
      <c r="F132" s="23">
        <f t="shared" si="29"/>
        <v>-59461021.791854344</v>
      </c>
      <c r="G132" s="23">
        <f t="shared" si="29"/>
        <v>-59425229.672511451</v>
      </c>
      <c r="H132" s="23">
        <f t="shared" si="29"/>
        <v>-59392522.978804775</v>
      </c>
      <c r="I132" s="23">
        <f t="shared" si="29"/>
        <v>-59341844.452123679</v>
      </c>
      <c r="J132" s="23">
        <f t="shared" si="29"/>
        <v>-59307499.001571551</v>
      </c>
      <c r="K132" s="23">
        <f t="shared" si="29"/>
        <v>-59275250.32940343</v>
      </c>
      <c r="L132" s="23">
        <f t="shared" si="29"/>
        <v>-59223633.45320496</v>
      </c>
      <c r="M132" s="23">
        <f t="shared" si="29"/>
        <v>-59190336.391844846</v>
      </c>
      <c r="N132" s="23">
        <f t="shared" si="29"/>
        <v>-59160841.080484726</v>
      </c>
      <c r="O132" s="23">
        <f t="shared" si="29"/>
        <v>-59109224.204286255</v>
      </c>
      <c r="P132" s="23">
        <f t="shared" si="29"/>
        <v>-770461887.8506546</v>
      </c>
      <c r="Q132" s="23">
        <f t="shared" si="29"/>
        <v>-59266299.065434977</v>
      </c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3"/>
    </row>
    <row r="133" spans="1:34" x14ac:dyDescent="0.25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3"/>
    </row>
    <row r="134" spans="1:34" x14ac:dyDescent="0.25">
      <c r="A134" s="21" t="s">
        <v>206</v>
      </c>
      <c r="B134" s="22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3"/>
    </row>
    <row r="135" spans="1:34" x14ac:dyDescent="0.25">
      <c r="A135" s="13" t="s">
        <v>207</v>
      </c>
      <c r="B135" s="13" t="s">
        <v>208</v>
      </c>
      <c r="C135" s="2">
        <f>'WC def tax 22'!O136</f>
        <v>0</v>
      </c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2">
        <f t="shared" ref="P135:P136" si="30">SUM(C135:O135)</f>
        <v>0</v>
      </c>
      <c r="Q135" s="2">
        <f t="shared" ref="Q135:Q136" si="31">P135/13</f>
        <v>0</v>
      </c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3"/>
    </row>
    <row r="136" spans="1:34" x14ac:dyDescent="0.25">
      <c r="A136" s="13" t="s">
        <v>209</v>
      </c>
      <c r="B136" s="13" t="s">
        <v>210</v>
      </c>
      <c r="C136" s="2">
        <f>'WC def tax 22'!O137</f>
        <v>86473.66</v>
      </c>
      <c r="D136" s="152">
        <v>86473.66</v>
      </c>
      <c r="E136" s="152">
        <v>86473.66</v>
      </c>
      <c r="F136" s="152">
        <v>86473.66</v>
      </c>
      <c r="G136" s="152">
        <v>86473.66</v>
      </c>
      <c r="H136" s="152">
        <v>86473.66</v>
      </c>
      <c r="I136" s="152">
        <v>86473.66</v>
      </c>
      <c r="J136" s="152">
        <v>86473.66</v>
      </c>
      <c r="K136" s="152">
        <v>86473.66</v>
      </c>
      <c r="L136" s="152">
        <v>86473.66</v>
      </c>
      <c r="M136" s="152">
        <v>86473.66</v>
      </c>
      <c r="N136" s="152">
        <v>86473.66</v>
      </c>
      <c r="O136" s="152">
        <v>86473.66</v>
      </c>
      <c r="P136" s="2">
        <f t="shared" si="30"/>
        <v>1124157.5800000003</v>
      </c>
      <c r="Q136" s="2">
        <f t="shared" si="31"/>
        <v>86473.660000000018</v>
      </c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27">
        <f>SUM(AB136:AG136)-O136</f>
        <v>-86473.66</v>
      </c>
    </row>
    <row r="137" spans="1:34" x14ac:dyDescent="0.25">
      <c r="C137" s="26" t="s">
        <v>67</v>
      </c>
      <c r="D137" s="26" t="s">
        <v>67</v>
      </c>
      <c r="E137" s="26" t="s">
        <v>67</v>
      </c>
      <c r="F137" s="26" t="s">
        <v>67</v>
      </c>
      <c r="G137" s="26" t="s">
        <v>67</v>
      </c>
      <c r="H137" s="26" t="s">
        <v>67</v>
      </c>
      <c r="I137" s="26" t="s">
        <v>67</v>
      </c>
      <c r="J137" s="26" t="s">
        <v>67</v>
      </c>
      <c r="K137" s="26" t="s">
        <v>67</v>
      </c>
      <c r="L137" s="26" t="s">
        <v>67</v>
      </c>
      <c r="M137" s="26" t="s">
        <v>67</v>
      </c>
      <c r="N137" s="26" t="s">
        <v>67</v>
      </c>
      <c r="O137" s="26" t="s">
        <v>67</v>
      </c>
      <c r="P137" s="26" t="s">
        <v>67</v>
      </c>
      <c r="Q137" s="26" t="s">
        <v>67</v>
      </c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3"/>
    </row>
    <row r="138" spans="1:34" x14ac:dyDescent="0.25">
      <c r="A138" s="21" t="s">
        <v>211</v>
      </c>
      <c r="B138" s="22"/>
      <c r="C138" s="23">
        <f>SUM(C135:C136)</f>
        <v>86473.66</v>
      </c>
      <c r="D138" s="23">
        <f t="shared" ref="D138:Q138" si="32">SUM(D135:D136)</f>
        <v>86473.66</v>
      </c>
      <c r="E138" s="23">
        <f t="shared" si="32"/>
        <v>86473.66</v>
      </c>
      <c r="F138" s="23">
        <f t="shared" si="32"/>
        <v>86473.66</v>
      </c>
      <c r="G138" s="23">
        <f t="shared" si="32"/>
        <v>86473.66</v>
      </c>
      <c r="H138" s="23">
        <f t="shared" si="32"/>
        <v>86473.66</v>
      </c>
      <c r="I138" s="23">
        <f t="shared" si="32"/>
        <v>86473.66</v>
      </c>
      <c r="J138" s="23">
        <f t="shared" si="32"/>
        <v>86473.66</v>
      </c>
      <c r="K138" s="23">
        <f t="shared" si="32"/>
        <v>86473.66</v>
      </c>
      <c r="L138" s="23">
        <f t="shared" si="32"/>
        <v>86473.66</v>
      </c>
      <c r="M138" s="23">
        <f t="shared" si="32"/>
        <v>86473.66</v>
      </c>
      <c r="N138" s="23">
        <f t="shared" si="32"/>
        <v>86473.66</v>
      </c>
      <c r="O138" s="23">
        <f t="shared" si="32"/>
        <v>86473.66</v>
      </c>
      <c r="P138" s="23">
        <f t="shared" si="32"/>
        <v>1124157.5800000003</v>
      </c>
      <c r="Q138" s="23">
        <f t="shared" si="32"/>
        <v>86473.660000000018</v>
      </c>
      <c r="R138" s="15">
        <f>SUM(T138:Y138)-Q138</f>
        <v>0</v>
      </c>
      <c r="S138" s="15" t="s">
        <v>16</v>
      </c>
      <c r="T138" s="15">
        <f t="shared" ref="T138:Y138" si="33">$Q138*T5</f>
        <v>18418.889580000003</v>
      </c>
      <c r="U138" s="15">
        <f t="shared" si="33"/>
        <v>30092.833680000003</v>
      </c>
      <c r="V138" s="15">
        <f t="shared" si="33"/>
        <v>12452.207040000001</v>
      </c>
      <c r="W138" s="15">
        <f t="shared" si="33"/>
        <v>86.473660000000024</v>
      </c>
      <c r="X138" s="15">
        <f t="shared" si="33"/>
        <v>86.473660000000024</v>
      </c>
      <c r="Y138" s="15">
        <f t="shared" si="33"/>
        <v>25336.782380000004</v>
      </c>
      <c r="Z138" s="15"/>
      <c r="AA138" s="15" t="s">
        <v>16</v>
      </c>
      <c r="AB138" s="15">
        <f t="shared" ref="AB138:AG138" si="34">$O138*AB$5</f>
        <v>18418.889579999999</v>
      </c>
      <c r="AC138" s="15">
        <f t="shared" si="34"/>
        <v>30092.83368</v>
      </c>
      <c r="AD138" s="15">
        <f t="shared" si="34"/>
        <v>12452.207039999999</v>
      </c>
      <c r="AE138" s="15">
        <f t="shared" si="34"/>
        <v>86.47366000000001</v>
      </c>
      <c r="AF138" s="15">
        <f t="shared" si="34"/>
        <v>86.47366000000001</v>
      </c>
      <c r="AG138" s="15">
        <f t="shared" si="34"/>
        <v>25336.782380000001</v>
      </c>
      <c r="AH138" s="3"/>
    </row>
    <row r="139" spans="1:34" x14ac:dyDescent="0.25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27">
        <f>SUM(AB139:AG139)-O139</f>
        <v>0</v>
      </c>
    </row>
    <row r="140" spans="1:34" x14ac:dyDescent="0.25">
      <c r="A140" s="21" t="s">
        <v>212</v>
      </c>
      <c r="B140" s="22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3"/>
    </row>
    <row r="141" spans="1:34" x14ac:dyDescent="0.25">
      <c r="A141" s="13" t="s">
        <v>213</v>
      </c>
      <c r="B141" s="13" t="s">
        <v>214</v>
      </c>
      <c r="C141" s="2">
        <f>'WC def tax 22'!O142</f>
        <v>127184</v>
      </c>
      <c r="D141" s="64">
        <v>127184</v>
      </c>
      <c r="E141" s="64">
        <v>127184</v>
      </c>
      <c r="F141" s="64">
        <v>127184</v>
      </c>
      <c r="G141" s="64">
        <v>127184</v>
      </c>
      <c r="H141" s="64">
        <v>127184</v>
      </c>
      <c r="I141" s="64">
        <v>127184</v>
      </c>
      <c r="J141" s="64">
        <v>127184</v>
      </c>
      <c r="K141" s="64">
        <v>127184</v>
      </c>
      <c r="L141" s="64">
        <v>127184</v>
      </c>
      <c r="M141" s="64">
        <v>127184</v>
      </c>
      <c r="N141" s="64">
        <v>127184</v>
      </c>
      <c r="O141" s="64">
        <v>127184</v>
      </c>
      <c r="P141" s="2">
        <f>SUM(C141:O141)</f>
        <v>1653392</v>
      </c>
      <c r="Q141" s="2">
        <f>P141/13</f>
        <v>127184</v>
      </c>
      <c r="R141" s="15">
        <f>SUM(T141:Y141)-Q141</f>
        <v>0</v>
      </c>
      <c r="S141" s="15" t="s">
        <v>16</v>
      </c>
      <c r="T141" s="15">
        <f t="shared" ref="T141:Y141" si="35">$Q141*T5</f>
        <v>27090.191999999999</v>
      </c>
      <c r="U141" s="15">
        <f t="shared" si="35"/>
        <v>44260.031999999999</v>
      </c>
      <c r="V141" s="15">
        <f t="shared" si="35"/>
        <v>18314.495999999999</v>
      </c>
      <c r="W141" s="15">
        <f t="shared" si="35"/>
        <v>127.184</v>
      </c>
      <c r="X141" s="15">
        <f t="shared" si="35"/>
        <v>127.184</v>
      </c>
      <c r="Y141" s="15">
        <f t="shared" si="35"/>
        <v>37264.911999999997</v>
      </c>
      <c r="Z141" s="15"/>
      <c r="AA141" s="15" t="s">
        <v>16</v>
      </c>
      <c r="AB141" s="15">
        <f t="shared" ref="AB141:AG141" si="36">$O141*AB$5</f>
        <v>27090.191999999999</v>
      </c>
      <c r="AC141" s="15">
        <f t="shared" si="36"/>
        <v>44260.031999999999</v>
      </c>
      <c r="AD141" s="15">
        <f t="shared" si="36"/>
        <v>18314.495999999999</v>
      </c>
      <c r="AE141" s="15">
        <f t="shared" si="36"/>
        <v>127.184</v>
      </c>
      <c r="AF141" s="15">
        <f t="shared" si="36"/>
        <v>127.184</v>
      </c>
      <c r="AG141" s="15">
        <f t="shared" si="36"/>
        <v>37264.911999999997</v>
      </c>
      <c r="AH141" s="3"/>
    </row>
    <row r="142" spans="1:34" x14ac:dyDescent="0.25">
      <c r="C142" s="26" t="s">
        <v>67</v>
      </c>
      <c r="D142" s="26" t="s">
        <v>67</v>
      </c>
      <c r="E142" s="26" t="s">
        <v>67</v>
      </c>
      <c r="F142" s="26" t="s">
        <v>67</v>
      </c>
      <c r="G142" s="26" t="s">
        <v>67</v>
      </c>
      <c r="H142" s="26" t="s">
        <v>67</v>
      </c>
      <c r="I142" s="26" t="s">
        <v>67</v>
      </c>
      <c r="J142" s="26" t="s">
        <v>67</v>
      </c>
      <c r="K142" s="26" t="s">
        <v>67</v>
      </c>
      <c r="L142" s="26" t="s">
        <v>67</v>
      </c>
      <c r="M142" s="26" t="s">
        <v>67</v>
      </c>
      <c r="N142" s="26" t="s">
        <v>67</v>
      </c>
      <c r="O142" s="26" t="s">
        <v>67</v>
      </c>
      <c r="P142" s="26" t="s">
        <v>67</v>
      </c>
      <c r="Q142" s="26" t="s">
        <v>67</v>
      </c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3"/>
    </row>
    <row r="143" spans="1:34" x14ac:dyDescent="0.25">
      <c r="A143" s="21" t="s">
        <v>215</v>
      </c>
      <c r="B143" s="22"/>
      <c r="C143" s="23">
        <f>C141</f>
        <v>127184</v>
      </c>
      <c r="D143" s="23">
        <f t="shared" ref="D143:Q143" si="37">D141</f>
        <v>127184</v>
      </c>
      <c r="E143" s="23">
        <f t="shared" si="37"/>
        <v>127184</v>
      </c>
      <c r="F143" s="23">
        <f t="shared" si="37"/>
        <v>127184</v>
      </c>
      <c r="G143" s="23">
        <f t="shared" si="37"/>
        <v>127184</v>
      </c>
      <c r="H143" s="23">
        <f t="shared" si="37"/>
        <v>127184</v>
      </c>
      <c r="I143" s="23">
        <f t="shared" si="37"/>
        <v>127184</v>
      </c>
      <c r="J143" s="23">
        <f t="shared" si="37"/>
        <v>127184</v>
      </c>
      <c r="K143" s="23">
        <f t="shared" si="37"/>
        <v>127184</v>
      </c>
      <c r="L143" s="23">
        <f t="shared" si="37"/>
        <v>127184</v>
      </c>
      <c r="M143" s="23">
        <f t="shared" si="37"/>
        <v>127184</v>
      </c>
      <c r="N143" s="23">
        <f t="shared" si="37"/>
        <v>127184</v>
      </c>
      <c r="O143" s="23">
        <f t="shared" si="37"/>
        <v>127184</v>
      </c>
      <c r="P143" s="23">
        <f t="shared" si="37"/>
        <v>1653392</v>
      </c>
      <c r="Q143" s="23">
        <f t="shared" si="37"/>
        <v>127184</v>
      </c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3"/>
    </row>
    <row r="144" spans="1:34" x14ac:dyDescent="0.25">
      <c r="A144" s="40"/>
      <c r="B144" s="40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3"/>
    </row>
    <row r="145" spans="1:34" ht="15.75" x14ac:dyDescent="0.3">
      <c r="A145" s="42" t="s">
        <v>216</v>
      </c>
      <c r="B145" s="43"/>
      <c r="C145" s="44">
        <f>C143+C138+C132+C92+C86+C79</f>
        <v>-58291197.238575034</v>
      </c>
      <c r="D145" s="44">
        <f t="shared" ref="D145:Q145" si="38">D143+D138+D132+D92+D86+D79</f>
        <v>-59333477.302666254</v>
      </c>
      <c r="E145" s="44">
        <f t="shared" si="38"/>
        <v>-59297685.183323368</v>
      </c>
      <c r="F145" s="44">
        <f t="shared" si="38"/>
        <v>-59248035.131854348</v>
      </c>
      <c r="G145" s="44">
        <f t="shared" si="38"/>
        <v>-59212243.012511455</v>
      </c>
      <c r="H145" s="44">
        <f t="shared" si="38"/>
        <v>-59179536.318804778</v>
      </c>
      <c r="I145" s="44">
        <f t="shared" si="38"/>
        <v>-59128857.792123683</v>
      </c>
      <c r="J145" s="44">
        <f t="shared" si="38"/>
        <v>-59094512.341571555</v>
      </c>
      <c r="K145" s="44">
        <f t="shared" si="38"/>
        <v>-59062263.669403434</v>
      </c>
      <c r="L145" s="44">
        <f t="shared" si="38"/>
        <v>-59010646.793204963</v>
      </c>
      <c r="M145" s="44">
        <f t="shared" si="38"/>
        <v>-58977349.73184485</v>
      </c>
      <c r="N145" s="44">
        <f t="shared" si="38"/>
        <v>-58947854.420484729</v>
      </c>
      <c r="O145" s="44">
        <f t="shared" si="38"/>
        <v>-58896237.544286259</v>
      </c>
      <c r="P145" s="44">
        <f t="shared" si="38"/>
        <v>-767679896.4806546</v>
      </c>
      <c r="Q145" s="44">
        <f t="shared" si="38"/>
        <v>-59052299.729281135</v>
      </c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3"/>
    </row>
    <row r="146" spans="1:34" x14ac:dyDescent="0.25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3"/>
    </row>
    <row r="147" spans="1:34" ht="15.75" x14ac:dyDescent="0.3">
      <c r="A147" s="18" t="s">
        <v>217</v>
      </c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3"/>
    </row>
    <row r="148" spans="1:34" x14ac:dyDescent="0.25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3"/>
    </row>
    <row r="149" spans="1:34" x14ac:dyDescent="0.25">
      <c r="A149" s="45" t="s">
        <v>218</v>
      </c>
      <c r="B149" s="46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3"/>
    </row>
    <row r="150" spans="1:34" x14ac:dyDescent="0.25">
      <c r="A150" s="48" t="s">
        <v>219</v>
      </c>
      <c r="B150" s="48" t="s">
        <v>220</v>
      </c>
      <c r="C150" s="2">
        <f>'WC def tax 22'!O151</f>
        <v>647651</v>
      </c>
      <c r="D150" s="64">
        <f>C150-6142</f>
        <v>641509</v>
      </c>
      <c r="E150" s="64">
        <f t="shared" ref="E150:O150" si="39">D150-6142</f>
        <v>635367</v>
      </c>
      <c r="F150" s="64">
        <f t="shared" si="39"/>
        <v>629225</v>
      </c>
      <c r="G150" s="64">
        <f t="shared" si="39"/>
        <v>623083</v>
      </c>
      <c r="H150" s="64">
        <f t="shared" si="39"/>
        <v>616941</v>
      </c>
      <c r="I150" s="64">
        <f t="shared" si="39"/>
        <v>610799</v>
      </c>
      <c r="J150" s="64">
        <f t="shared" si="39"/>
        <v>604657</v>
      </c>
      <c r="K150" s="64">
        <f t="shared" si="39"/>
        <v>598515</v>
      </c>
      <c r="L150" s="64">
        <f t="shared" si="39"/>
        <v>592373</v>
      </c>
      <c r="M150" s="64">
        <f t="shared" si="39"/>
        <v>586231</v>
      </c>
      <c r="N150" s="64">
        <f t="shared" si="39"/>
        <v>580089</v>
      </c>
      <c r="O150" s="64">
        <f t="shared" si="39"/>
        <v>573947</v>
      </c>
      <c r="P150" s="2">
        <f>SUM(C150:O150)</f>
        <v>7940387</v>
      </c>
      <c r="Q150" s="2">
        <f>P150/13</f>
        <v>610799</v>
      </c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3"/>
    </row>
    <row r="151" spans="1:34" x14ac:dyDescent="0.25">
      <c r="C151" s="26" t="s">
        <v>67</v>
      </c>
      <c r="D151" s="26" t="s">
        <v>67</v>
      </c>
      <c r="E151" s="26" t="s">
        <v>67</v>
      </c>
      <c r="F151" s="26" t="s">
        <v>67</v>
      </c>
      <c r="G151" s="26" t="s">
        <v>67</v>
      </c>
      <c r="H151" s="26" t="s">
        <v>67</v>
      </c>
      <c r="I151" s="26" t="s">
        <v>67</v>
      </c>
      <c r="J151" s="26" t="s">
        <v>67</v>
      </c>
      <c r="K151" s="26" t="s">
        <v>67</v>
      </c>
      <c r="L151" s="26" t="s">
        <v>67</v>
      </c>
      <c r="M151" s="26" t="s">
        <v>67</v>
      </c>
      <c r="N151" s="26" t="s">
        <v>67</v>
      </c>
      <c r="O151" s="26" t="s">
        <v>67</v>
      </c>
      <c r="P151" s="26" t="s">
        <v>67</v>
      </c>
      <c r="Q151" s="26" t="s">
        <v>67</v>
      </c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3"/>
    </row>
    <row r="152" spans="1:34" x14ac:dyDescent="0.25">
      <c r="A152" s="21" t="s">
        <v>221</v>
      </c>
      <c r="B152" s="22"/>
      <c r="C152" s="23">
        <f>C150</f>
        <v>647651</v>
      </c>
      <c r="D152" s="23">
        <f t="shared" ref="D152:Q152" si="40">D150</f>
        <v>641509</v>
      </c>
      <c r="E152" s="23">
        <f t="shared" si="40"/>
        <v>635367</v>
      </c>
      <c r="F152" s="23">
        <f t="shared" si="40"/>
        <v>629225</v>
      </c>
      <c r="G152" s="23">
        <f t="shared" si="40"/>
        <v>623083</v>
      </c>
      <c r="H152" s="23">
        <f t="shared" si="40"/>
        <v>616941</v>
      </c>
      <c r="I152" s="23">
        <f t="shared" si="40"/>
        <v>610799</v>
      </c>
      <c r="J152" s="23">
        <f t="shared" si="40"/>
        <v>604657</v>
      </c>
      <c r="K152" s="23">
        <f t="shared" si="40"/>
        <v>598515</v>
      </c>
      <c r="L152" s="23">
        <f t="shared" si="40"/>
        <v>592373</v>
      </c>
      <c r="M152" s="23">
        <f t="shared" si="40"/>
        <v>586231</v>
      </c>
      <c r="N152" s="23">
        <f t="shared" si="40"/>
        <v>580089</v>
      </c>
      <c r="O152" s="23">
        <f t="shared" si="40"/>
        <v>573947</v>
      </c>
      <c r="P152" s="23">
        <f t="shared" si="40"/>
        <v>7940387</v>
      </c>
      <c r="Q152" s="23">
        <f t="shared" si="40"/>
        <v>610799</v>
      </c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3"/>
    </row>
    <row r="153" spans="1:34" x14ac:dyDescent="0.25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3"/>
    </row>
    <row r="154" spans="1:34" x14ac:dyDescent="0.25">
      <c r="A154" s="21" t="s">
        <v>222</v>
      </c>
      <c r="B154" s="22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3"/>
    </row>
    <row r="155" spans="1:34" x14ac:dyDescent="0.25">
      <c r="A155" s="13" t="s">
        <v>223</v>
      </c>
      <c r="B155" s="13" t="s">
        <v>224</v>
      </c>
      <c r="C155" s="2">
        <f>'WC def tax 22'!O156</f>
        <v>136883.76999999999</v>
      </c>
      <c r="D155" s="157">
        <v>566201.35000000009</v>
      </c>
      <c r="E155" s="157">
        <v>566201.35000000009</v>
      </c>
      <c r="F155" s="157">
        <v>566201.35000000009</v>
      </c>
      <c r="G155" s="157">
        <v>566201.35000000009</v>
      </c>
      <c r="H155" s="157">
        <v>566201.35000000009</v>
      </c>
      <c r="I155" s="157">
        <v>566201.35000000009</v>
      </c>
      <c r="J155" s="157">
        <v>566201.35000000009</v>
      </c>
      <c r="K155" s="157">
        <v>566201.35000000009</v>
      </c>
      <c r="L155" s="157">
        <v>566201.35000000009</v>
      </c>
      <c r="M155" s="157">
        <v>566201.35000000009</v>
      </c>
      <c r="N155" s="157">
        <v>566201.35000000009</v>
      </c>
      <c r="O155" s="157">
        <v>566201.35000000009</v>
      </c>
      <c r="P155" s="2">
        <f t="shared" ref="P155:P156" si="41">SUM(C155:O155)</f>
        <v>6931299.9699999988</v>
      </c>
      <c r="Q155" s="2">
        <f t="shared" ref="Q155:Q156" si="42">P155/13</f>
        <v>533176.9207692307</v>
      </c>
      <c r="R155" s="15"/>
      <c r="S155" s="15" t="s">
        <v>225</v>
      </c>
      <c r="T155" s="15">
        <f>$Q155*T$3</f>
        <v>86454.637702730746</v>
      </c>
      <c r="U155" s="15">
        <f t="shared" ref="U155:Y155" si="43">$Q155*U$3</f>
        <v>208850.73163451537</v>
      </c>
      <c r="V155" s="15">
        <f t="shared" si="43"/>
        <v>98040.572191046129</v>
      </c>
      <c r="W155" s="15">
        <f t="shared" si="43"/>
        <v>1892.7780687307691</v>
      </c>
      <c r="X155" s="15">
        <f t="shared" si="43"/>
        <v>591.82638205384615</v>
      </c>
      <c r="Y155" s="15">
        <f t="shared" si="43"/>
        <v>137357.03832856921</v>
      </c>
      <c r="Z155" s="15"/>
      <c r="AA155" s="15"/>
      <c r="AB155" s="15">
        <f>$O155*AB$3</f>
        <v>91809.548902500013</v>
      </c>
      <c r="AC155" s="15">
        <f t="shared" ref="AC155:AG155" si="44">$O155*AC$3</f>
        <v>221786.73080850003</v>
      </c>
      <c r="AD155" s="15">
        <f t="shared" si="44"/>
        <v>104113.10423800001</v>
      </c>
      <c r="AE155" s="15">
        <f t="shared" si="44"/>
        <v>2010.0147925000003</v>
      </c>
      <c r="AF155" s="15">
        <f t="shared" si="44"/>
        <v>628.48349850000011</v>
      </c>
      <c r="AG155" s="15">
        <f t="shared" si="44"/>
        <v>145864.79178700002</v>
      </c>
      <c r="AH155" s="3"/>
    </row>
    <row r="156" spans="1:34" x14ac:dyDescent="0.25">
      <c r="A156" s="13" t="s">
        <v>226</v>
      </c>
      <c r="B156" s="13" t="s">
        <v>227</v>
      </c>
      <c r="C156" s="2">
        <f>'WC def tax 22'!O157</f>
        <v>0</v>
      </c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2">
        <f t="shared" si="41"/>
        <v>0</v>
      </c>
      <c r="Q156" s="2">
        <f t="shared" si="42"/>
        <v>0</v>
      </c>
      <c r="R156" s="15"/>
      <c r="S156" s="15" t="s">
        <v>225</v>
      </c>
      <c r="T156" s="15">
        <f t="shared" ref="T156:Y156" si="45">$Q156*T$3</f>
        <v>0</v>
      </c>
      <c r="U156" s="15">
        <f t="shared" si="45"/>
        <v>0</v>
      </c>
      <c r="V156" s="15">
        <f t="shared" si="45"/>
        <v>0</v>
      </c>
      <c r="W156" s="15">
        <f t="shared" si="45"/>
        <v>0</v>
      </c>
      <c r="X156" s="15">
        <f t="shared" si="45"/>
        <v>0</v>
      </c>
      <c r="Y156" s="15">
        <f t="shared" si="45"/>
        <v>0</v>
      </c>
      <c r="Z156" s="15"/>
      <c r="AA156" s="15"/>
      <c r="AB156" s="15">
        <f t="shared" ref="AB156:AG156" si="46">$O156*AB$3</f>
        <v>0</v>
      </c>
      <c r="AC156" s="15">
        <f t="shared" si="46"/>
        <v>0</v>
      </c>
      <c r="AD156" s="15">
        <f t="shared" si="46"/>
        <v>0</v>
      </c>
      <c r="AE156" s="15">
        <f t="shared" si="46"/>
        <v>0</v>
      </c>
      <c r="AF156" s="15">
        <f t="shared" si="46"/>
        <v>0</v>
      </c>
      <c r="AG156" s="15">
        <f t="shared" si="46"/>
        <v>0</v>
      </c>
      <c r="AH156" s="3"/>
    </row>
    <row r="157" spans="1:34" x14ac:dyDescent="0.25">
      <c r="C157" s="26" t="s">
        <v>67</v>
      </c>
      <c r="D157" s="26" t="s">
        <v>67</v>
      </c>
      <c r="E157" s="26" t="s">
        <v>67</v>
      </c>
      <c r="F157" s="26" t="s">
        <v>67</v>
      </c>
      <c r="G157" s="26" t="s">
        <v>67</v>
      </c>
      <c r="H157" s="26" t="s">
        <v>67</v>
      </c>
      <c r="I157" s="26" t="s">
        <v>67</v>
      </c>
      <c r="J157" s="26" t="s">
        <v>67</v>
      </c>
      <c r="K157" s="26" t="s">
        <v>67</v>
      </c>
      <c r="L157" s="26" t="s">
        <v>67</v>
      </c>
      <c r="M157" s="26" t="s">
        <v>67</v>
      </c>
      <c r="N157" s="26" t="s">
        <v>67</v>
      </c>
      <c r="O157" s="26" t="s">
        <v>67</v>
      </c>
      <c r="P157" s="26" t="s">
        <v>67</v>
      </c>
      <c r="Q157" s="26" t="s">
        <v>67</v>
      </c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3"/>
    </row>
    <row r="158" spans="1:34" x14ac:dyDescent="0.25">
      <c r="A158" s="21" t="s">
        <v>228</v>
      </c>
      <c r="B158" s="22"/>
      <c r="C158" s="23">
        <f>SUM(C155:C156)</f>
        <v>136883.76999999999</v>
      </c>
      <c r="D158" s="23">
        <f t="shared" ref="D158:Q158" si="47">SUM(D155:D156)</f>
        <v>566201.35000000009</v>
      </c>
      <c r="E158" s="23">
        <f t="shared" si="47"/>
        <v>566201.35000000009</v>
      </c>
      <c r="F158" s="23">
        <f t="shared" si="47"/>
        <v>566201.35000000009</v>
      </c>
      <c r="G158" s="23">
        <f t="shared" si="47"/>
        <v>566201.35000000009</v>
      </c>
      <c r="H158" s="23">
        <f t="shared" si="47"/>
        <v>566201.35000000009</v>
      </c>
      <c r="I158" s="23">
        <f t="shared" si="47"/>
        <v>566201.35000000009</v>
      </c>
      <c r="J158" s="23">
        <f t="shared" si="47"/>
        <v>566201.35000000009</v>
      </c>
      <c r="K158" s="23">
        <f t="shared" si="47"/>
        <v>566201.35000000009</v>
      </c>
      <c r="L158" s="23">
        <f t="shared" si="47"/>
        <v>566201.35000000009</v>
      </c>
      <c r="M158" s="23">
        <f t="shared" si="47"/>
        <v>566201.35000000009</v>
      </c>
      <c r="N158" s="23">
        <f t="shared" si="47"/>
        <v>566201.35000000009</v>
      </c>
      <c r="O158" s="23">
        <f t="shared" si="47"/>
        <v>566201.35000000009</v>
      </c>
      <c r="P158" s="23">
        <f t="shared" si="47"/>
        <v>6931299.9699999988</v>
      </c>
      <c r="Q158" s="23">
        <f t="shared" si="47"/>
        <v>533176.9207692307</v>
      </c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3"/>
    </row>
    <row r="159" spans="1:34" x14ac:dyDescent="0.25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3"/>
    </row>
    <row r="160" spans="1:34" ht="15.75" x14ac:dyDescent="0.3">
      <c r="A160" s="18" t="s">
        <v>229</v>
      </c>
      <c r="B160" s="19"/>
      <c r="C160" s="20">
        <f>C158+C152</f>
        <v>784534.77</v>
      </c>
      <c r="D160" s="20">
        <f t="shared" ref="D160:Q160" si="48">D158+D152</f>
        <v>1207710.3500000001</v>
      </c>
      <c r="E160" s="20">
        <f t="shared" si="48"/>
        <v>1201568.3500000001</v>
      </c>
      <c r="F160" s="20">
        <f t="shared" si="48"/>
        <v>1195426.3500000001</v>
      </c>
      <c r="G160" s="20">
        <f t="shared" si="48"/>
        <v>1189284.3500000001</v>
      </c>
      <c r="H160" s="20">
        <f t="shared" si="48"/>
        <v>1183142.3500000001</v>
      </c>
      <c r="I160" s="20">
        <f t="shared" si="48"/>
        <v>1177000.3500000001</v>
      </c>
      <c r="J160" s="20">
        <f t="shared" si="48"/>
        <v>1170858.3500000001</v>
      </c>
      <c r="K160" s="20">
        <f t="shared" si="48"/>
        <v>1164716.3500000001</v>
      </c>
      <c r="L160" s="20">
        <f t="shared" si="48"/>
        <v>1158574.3500000001</v>
      </c>
      <c r="M160" s="20">
        <f t="shared" si="48"/>
        <v>1152432.3500000001</v>
      </c>
      <c r="N160" s="20">
        <f t="shared" si="48"/>
        <v>1146290.3500000001</v>
      </c>
      <c r="O160" s="20">
        <f t="shared" si="48"/>
        <v>1140148.3500000001</v>
      </c>
      <c r="P160" s="20">
        <f t="shared" si="48"/>
        <v>14871686.969999999</v>
      </c>
      <c r="Q160" s="20">
        <f t="shared" si="48"/>
        <v>1143975.9207692307</v>
      </c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3"/>
    </row>
    <row r="161" spans="1:34" x14ac:dyDescent="0.25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3"/>
    </row>
    <row r="162" spans="1:34" ht="19.5" x14ac:dyDescent="0.4">
      <c r="A162" s="5" t="s">
        <v>230</v>
      </c>
      <c r="B162" s="16"/>
      <c r="C162" s="17">
        <f>C160+C145+C68+C55</f>
        <v>62518691.838414997</v>
      </c>
      <c r="D162" s="17">
        <f t="shared" ref="D162:Q162" si="49">D160+D145+D68+D55</f>
        <v>62422908.21374958</v>
      </c>
      <c r="E162" s="17">
        <f t="shared" si="49"/>
        <v>62404983.7095083</v>
      </c>
      <c r="F162" s="17">
        <f t="shared" si="49"/>
        <v>62400917.137393162</v>
      </c>
      <c r="G162" s="17">
        <f t="shared" si="49"/>
        <v>62382992.633151889</v>
      </c>
      <c r="H162" s="17">
        <f t="shared" si="49"/>
        <v>62361982.703274399</v>
      </c>
      <c r="I162" s="17">
        <f t="shared" si="49"/>
        <v>62358944.606371328</v>
      </c>
      <c r="J162" s="17">
        <f t="shared" si="49"/>
        <v>62339573.433339298</v>
      </c>
      <c r="K162" s="17">
        <f t="shared" si="49"/>
        <v>62318105.481923252</v>
      </c>
      <c r="L162" s="17">
        <f t="shared" si="49"/>
        <v>62316005.734537557</v>
      </c>
      <c r="M162" s="17">
        <f t="shared" si="49"/>
        <v>62295586.172313511</v>
      </c>
      <c r="N162" s="17">
        <f t="shared" si="49"/>
        <v>62271364.860089466</v>
      </c>
      <c r="O162" s="17">
        <f t="shared" si="49"/>
        <v>62269265.11270377</v>
      </c>
      <c r="P162" s="17">
        <f t="shared" si="49"/>
        <v>810661321.63677061</v>
      </c>
      <c r="Q162" s="17">
        <f t="shared" si="49"/>
        <v>62358563.202828497</v>
      </c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3"/>
    </row>
    <row r="163" spans="1:34" x14ac:dyDescent="0.25">
      <c r="C163" s="26" t="s">
        <v>231</v>
      </c>
      <c r="D163" s="26" t="s">
        <v>231</v>
      </c>
      <c r="E163" s="26" t="s">
        <v>231</v>
      </c>
      <c r="F163" s="26" t="s">
        <v>231</v>
      </c>
      <c r="G163" s="26" t="s">
        <v>231</v>
      </c>
      <c r="H163" s="26" t="s">
        <v>231</v>
      </c>
      <c r="I163" s="26" t="s">
        <v>231</v>
      </c>
      <c r="J163" s="26" t="s">
        <v>231</v>
      </c>
      <c r="K163" s="26" t="s">
        <v>231</v>
      </c>
      <c r="L163" s="26" t="s">
        <v>231</v>
      </c>
      <c r="M163" s="26" t="s">
        <v>231</v>
      </c>
      <c r="N163" s="26" t="s">
        <v>231</v>
      </c>
      <c r="O163" s="26" t="s">
        <v>231</v>
      </c>
      <c r="P163" s="26" t="s">
        <v>231</v>
      </c>
      <c r="Q163" s="26" t="s">
        <v>231</v>
      </c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3"/>
    </row>
    <row r="164" spans="1:34" x14ac:dyDescent="0.25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3"/>
    </row>
    <row r="165" spans="1:34" ht="19.5" x14ac:dyDescent="0.4">
      <c r="A165" s="50" t="s">
        <v>232</v>
      </c>
      <c r="B165" s="51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3"/>
    </row>
    <row r="166" spans="1:34" x14ac:dyDescent="0.25">
      <c r="A166" s="35"/>
      <c r="B166" s="35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3"/>
    </row>
    <row r="167" spans="1:34" ht="15.75" x14ac:dyDescent="0.3">
      <c r="A167" s="53" t="s">
        <v>233</v>
      </c>
      <c r="B167" s="54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3"/>
    </row>
    <row r="168" spans="1:34" x14ac:dyDescent="0.25">
      <c r="A168" s="35"/>
      <c r="B168" s="35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27">
        <f t="shared" ref="AH168:AH174" si="50">SUM(AB168:AG168)+O168</f>
        <v>0</v>
      </c>
    </row>
    <row r="169" spans="1:34" x14ac:dyDescent="0.25">
      <c r="A169" s="37" t="s">
        <v>234</v>
      </c>
      <c r="B169" s="38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27">
        <f t="shared" si="50"/>
        <v>0</v>
      </c>
    </row>
    <row r="170" spans="1:34" x14ac:dyDescent="0.25">
      <c r="A170" s="31" t="s">
        <v>235</v>
      </c>
      <c r="B170" s="31" t="s">
        <v>236</v>
      </c>
      <c r="C170" s="2">
        <f>'WC def tax 22'!O171</f>
        <v>0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2">
        <f t="shared" ref="P170:P177" si="51">SUM(C170:O170)</f>
        <v>0</v>
      </c>
      <c r="Q170" s="2">
        <f t="shared" ref="Q170:Q177" si="52">P170/13</f>
        <v>0</v>
      </c>
      <c r="R170" s="15">
        <f t="shared" ref="R170:R176" si="53">SUM(T170:Y170)+Q170</f>
        <v>0</v>
      </c>
      <c r="S170" s="15" t="s">
        <v>16</v>
      </c>
      <c r="T170" s="15">
        <f t="shared" ref="T170:Y170" si="54">-$Q170*T5</f>
        <v>0</v>
      </c>
      <c r="U170" s="15">
        <f t="shared" si="54"/>
        <v>0</v>
      </c>
      <c r="V170" s="15">
        <f t="shared" si="54"/>
        <v>0</v>
      </c>
      <c r="W170" s="15">
        <f t="shared" si="54"/>
        <v>0</v>
      </c>
      <c r="X170" s="15">
        <f t="shared" si="54"/>
        <v>0</v>
      </c>
      <c r="Y170" s="15">
        <f t="shared" si="54"/>
        <v>0</v>
      </c>
      <c r="Z170" s="15"/>
      <c r="AA170" s="15" t="s">
        <v>16</v>
      </c>
      <c r="AB170" s="15">
        <f t="shared" ref="AB170:AG172" si="55">-$O170*AB$5</f>
        <v>0</v>
      </c>
      <c r="AC170" s="15">
        <f t="shared" si="55"/>
        <v>0</v>
      </c>
      <c r="AD170" s="15">
        <f t="shared" si="55"/>
        <v>0</v>
      </c>
      <c r="AE170" s="15">
        <f t="shared" si="55"/>
        <v>0</v>
      </c>
      <c r="AF170" s="15">
        <f t="shared" si="55"/>
        <v>0</v>
      </c>
      <c r="AG170" s="15">
        <f t="shared" si="55"/>
        <v>0</v>
      </c>
      <c r="AH170" s="27">
        <f t="shared" si="50"/>
        <v>0</v>
      </c>
    </row>
    <row r="171" spans="1:34" x14ac:dyDescent="0.25">
      <c r="A171" s="31" t="s">
        <v>237</v>
      </c>
      <c r="B171" s="31" t="s">
        <v>238</v>
      </c>
      <c r="C171" s="2">
        <f>'WC def tax 22'!O172</f>
        <v>2747234.4858333301</v>
      </c>
      <c r="D171" s="157">
        <v>2747234.4858333301</v>
      </c>
      <c r="E171" s="157">
        <v>2747234.4858333301</v>
      </c>
      <c r="F171" s="157">
        <v>2747234.4858333301</v>
      </c>
      <c r="G171" s="157">
        <v>2747234.4858333301</v>
      </c>
      <c r="H171" s="157">
        <v>2747234.4858333301</v>
      </c>
      <c r="I171" s="157">
        <v>2747234.4858333301</v>
      </c>
      <c r="J171" s="157">
        <v>2747234.4858333301</v>
      </c>
      <c r="K171" s="157">
        <v>2747234.4858333301</v>
      </c>
      <c r="L171" s="157">
        <v>2747234.4858333301</v>
      </c>
      <c r="M171" s="157">
        <v>2747234.4858333301</v>
      </c>
      <c r="N171" s="157">
        <v>2747234.4858333301</v>
      </c>
      <c r="O171" s="157">
        <v>2747234.4858333301</v>
      </c>
      <c r="P171" s="2">
        <f t="shared" si="51"/>
        <v>35714048.3158333</v>
      </c>
      <c r="Q171" s="2">
        <f t="shared" si="52"/>
        <v>2747234.485833331</v>
      </c>
      <c r="R171" s="15">
        <f t="shared" si="53"/>
        <v>0</v>
      </c>
      <c r="S171" s="15" t="s">
        <v>16</v>
      </c>
      <c r="T171" s="15">
        <f t="shared" ref="T171:Y171" si="56">-$Q171*T5</f>
        <v>-585160.94548249955</v>
      </c>
      <c r="U171" s="15">
        <f t="shared" si="56"/>
        <v>-956037.60106999916</v>
      </c>
      <c r="V171" s="15">
        <f t="shared" si="56"/>
        <v>-395601.76595999964</v>
      </c>
      <c r="W171" s="15">
        <f t="shared" si="56"/>
        <v>-2747.2344858333313</v>
      </c>
      <c r="X171" s="15">
        <f t="shared" si="56"/>
        <v>-2747.2344858333313</v>
      </c>
      <c r="Y171" s="15">
        <f t="shared" si="56"/>
        <v>-804939.7043491659</v>
      </c>
      <c r="Z171" s="15"/>
      <c r="AA171" s="15" t="s">
        <v>16</v>
      </c>
      <c r="AB171" s="15">
        <f t="shared" si="55"/>
        <v>-585160.94548249932</v>
      </c>
      <c r="AC171" s="15">
        <f t="shared" si="55"/>
        <v>-956037.60106999881</v>
      </c>
      <c r="AD171" s="15">
        <f t="shared" si="55"/>
        <v>-395601.76595999952</v>
      </c>
      <c r="AE171" s="15">
        <f t="shared" si="55"/>
        <v>-2747.2344858333299</v>
      </c>
      <c r="AF171" s="15">
        <f t="shared" si="55"/>
        <v>-2747.2344858333299</v>
      </c>
      <c r="AG171" s="15">
        <f t="shared" si="55"/>
        <v>-804939.70434916567</v>
      </c>
      <c r="AH171" s="27">
        <f t="shared" si="50"/>
        <v>0</v>
      </c>
    </row>
    <row r="172" spans="1:34" x14ac:dyDescent="0.25">
      <c r="A172" s="31" t="s">
        <v>239</v>
      </c>
      <c r="B172" s="31" t="s">
        <v>240</v>
      </c>
      <c r="C172" s="2">
        <f>'WC def tax 22'!O173</f>
        <v>0</v>
      </c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2">
        <f t="shared" si="51"/>
        <v>0</v>
      </c>
      <c r="Q172" s="2">
        <f t="shared" si="52"/>
        <v>0</v>
      </c>
      <c r="R172" s="15">
        <f t="shared" si="53"/>
        <v>0</v>
      </c>
      <c r="S172" s="15" t="s">
        <v>16</v>
      </c>
      <c r="T172" s="15">
        <f t="shared" ref="T172:Y172" si="57">-$Q172*T5</f>
        <v>0</v>
      </c>
      <c r="U172" s="15">
        <f t="shared" si="57"/>
        <v>0</v>
      </c>
      <c r="V172" s="15">
        <f t="shared" si="57"/>
        <v>0</v>
      </c>
      <c r="W172" s="15">
        <f t="shared" si="57"/>
        <v>0</v>
      </c>
      <c r="X172" s="15">
        <f t="shared" si="57"/>
        <v>0</v>
      </c>
      <c r="Y172" s="15">
        <f t="shared" si="57"/>
        <v>0</v>
      </c>
      <c r="Z172" s="15"/>
      <c r="AA172" s="15" t="s">
        <v>16</v>
      </c>
      <c r="AB172" s="15">
        <f t="shared" si="55"/>
        <v>0</v>
      </c>
      <c r="AC172" s="15">
        <f t="shared" si="55"/>
        <v>0</v>
      </c>
      <c r="AD172" s="15">
        <f t="shared" si="55"/>
        <v>0</v>
      </c>
      <c r="AE172" s="15">
        <f t="shared" si="55"/>
        <v>0</v>
      </c>
      <c r="AF172" s="15">
        <f t="shared" si="55"/>
        <v>0</v>
      </c>
      <c r="AG172" s="15">
        <f t="shared" si="55"/>
        <v>0</v>
      </c>
      <c r="AH172" s="27">
        <f t="shared" si="50"/>
        <v>0</v>
      </c>
    </row>
    <row r="173" spans="1:34" x14ac:dyDescent="0.25">
      <c r="A173" s="31" t="s">
        <v>241</v>
      </c>
      <c r="B173" s="31" t="s">
        <v>242</v>
      </c>
      <c r="C173" s="2">
        <f>'WC def tax 22'!O174</f>
        <v>0</v>
      </c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2">
        <f t="shared" si="51"/>
        <v>0</v>
      </c>
      <c r="Q173" s="2">
        <f t="shared" si="52"/>
        <v>0</v>
      </c>
      <c r="R173" s="15">
        <f t="shared" si="53"/>
        <v>0</v>
      </c>
      <c r="S173" s="15" t="s">
        <v>34</v>
      </c>
      <c r="T173" s="15">
        <f t="shared" ref="T173:Y173" si="58">-$Q173*T7</f>
        <v>0</v>
      </c>
      <c r="U173" s="15">
        <f t="shared" si="58"/>
        <v>0</v>
      </c>
      <c r="V173" s="15">
        <f t="shared" si="58"/>
        <v>0</v>
      </c>
      <c r="W173" s="15">
        <f t="shared" si="58"/>
        <v>0</v>
      </c>
      <c r="X173" s="15">
        <f t="shared" si="58"/>
        <v>0</v>
      </c>
      <c r="Y173" s="15">
        <f t="shared" si="58"/>
        <v>0</v>
      </c>
      <c r="Z173" s="15"/>
      <c r="AA173" s="15" t="s">
        <v>34</v>
      </c>
      <c r="AB173" s="15">
        <f t="shared" ref="AB173:AG177" si="59">-$O173*AB$7</f>
        <v>0</v>
      </c>
      <c r="AC173" s="15">
        <f t="shared" si="59"/>
        <v>0</v>
      </c>
      <c r="AD173" s="15">
        <f t="shared" si="59"/>
        <v>0</v>
      </c>
      <c r="AE173" s="15">
        <f t="shared" si="59"/>
        <v>0</v>
      </c>
      <c r="AF173" s="15">
        <f t="shared" si="59"/>
        <v>0</v>
      </c>
      <c r="AG173" s="15">
        <f t="shared" si="59"/>
        <v>0</v>
      </c>
      <c r="AH173" s="27">
        <f t="shared" si="50"/>
        <v>0</v>
      </c>
    </row>
    <row r="174" spans="1:34" x14ac:dyDescent="0.25">
      <c r="A174" s="31" t="s">
        <v>243</v>
      </c>
      <c r="B174" s="31" t="s">
        <v>244</v>
      </c>
      <c r="C174" s="2">
        <f>'WC def tax 22'!O175</f>
        <v>0</v>
      </c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2">
        <f t="shared" si="51"/>
        <v>0</v>
      </c>
      <c r="Q174" s="2">
        <f t="shared" si="52"/>
        <v>0</v>
      </c>
      <c r="R174" s="15">
        <f t="shared" si="53"/>
        <v>0</v>
      </c>
      <c r="S174" s="15" t="s">
        <v>34</v>
      </c>
      <c r="T174" s="15">
        <f t="shared" ref="T174:Y177" si="60">-$Q174*T$7</f>
        <v>0</v>
      </c>
      <c r="U174" s="15">
        <f t="shared" si="60"/>
        <v>0</v>
      </c>
      <c r="V174" s="15">
        <f t="shared" si="60"/>
        <v>0</v>
      </c>
      <c r="W174" s="15">
        <f t="shared" si="60"/>
        <v>0</v>
      </c>
      <c r="X174" s="15">
        <f t="shared" si="60"/>
        <v>0</v>
      </c>
      <c r="Y174" s="15">
        <f t="shared" si="60"/>
        <v>0</v>
      </c>
      <c r="Z174" s="15"/>
      <c r="AA174" s="15" t="s">
        <v>34</v>
      </c>
      <c r="AB174" s="15">
        <f t="shared" si="59"/>
        <v>0</v>
      </c>
      <c r="AC174" s="15">
        <f t="shared" si="59"/>
        <v>0</v>
      </c>
      <c r="AD174" s="15">
        <f t="shared" si="59"/>
        <v>0</v>
      </c>
      <c r="AE174" s="15">
        <f t="shared" si="59"/>
        <v>0</v>
      </c>
      <c r="AF174" s="15">
        <f t="shared" si="59"/>
        <v>0</v>
      </c>
      <c r="AG174" s="15">
        <f t="shared" si="59"/>
        <v>0</v>
      </c>
      <c r="AH174" s="27">
        <f t="shared" si="50"/>
        <v>0</v>
      </c>
    </row>
    <row r="175" spans="1:34" x14ac:dyDescent="0.25">
      <c r="A175" s="31" t="s">
        <v>245</v>
      </c>
      <c r="B175" s="31" t="s">
        <v>246</v>
      </c>
      <c r="C175" s="2">
        <f>'WC def tax 22'!O176</f>
        <v>0</v>
      </c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2">
        <f t="shared" si="51"/>
        <v>0</v>
      </c>
      <c r="Q175" s="2">
        <f t="shared" si="52"/>
        <v>0</v>
      </c>
      <c r="R175" s="15">
        <f t="shared" si="53"/>
        <v>0</v>
      </c>
      <c r="S175" s="15" t="s">
        <v>34</v>
      </c>
      <c r="T175" s="15">
        <f t="shared" si="60"/>
        <v>0</v>
      </c>
      <c r="U175" s="15">
        <f t="shared" si="60"/>
        <v>0</v>
      </c>
      <c r="V175" s="15">
        <f t="shared" si="60"/>
        <v>0</v>
      </c>
      <c r="W175" s="15">
        <f t="shared" si="60"/>
        <v>0</v>
      </c>
      <c r="X175" s="15">
        <f t="shared" si="60"/>
        <v>0</v>
      </c>
      <c r="Y175" s="15">
        <f t="shared" si="60"/>
        <v>0</v>
      </c>
      <c r="Z175" s="15"/>
      <c r="AA175" s="15" t="s">
        <v>34</v>
      </c>
      <c r="AB175" s="15">
        <f t="shared" si="59"/>
        <v>0</v>
      </c>
      <c r="AC175" s="15">
        <f t="shared" si="59"/>
        <v>0</v>
      </c>
      <c r="AD175" s="15">
        <f t="shared" si="59"/>
        <v>0</v>
      </c>
      <c r="AE175" s="15">
        <f t="shared" si="59"/>
        <v>0</v>
      </c>
      <c r="AF175" s="15">
        <f t="shared" si="59"/>
        <v>0</v>
      </c>
      <c r="AG175" s="15">
        <f t="shared" si="59"/>
        <v>0</v>
      </c>
      <c r="AH175" s="27"/>
    </row>
    <row r="176" spans="1:34" x14ac:dyDescent="0.25">
      <c r="A176" s="31" t="s">
        <v>247</v>
      </c>
      <c r="B176" s="31" t="s">
        <v>248</v>
      </c>
      <c r="C176" s="2">
        <f>'WC def tax 22'!O177</f>
        <v>0</v>
      </c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2">
        <f t="shared" si="51"/>
        <v>0</v>
      </c>
      <c r="Q176" s="2">
        <f t="shared" si="52"/>
        <v>0</v>
      </c>
      <c r="R176" s="15">
        <f t="shared" si="53"/>
        <v>0</v>
      </c>
      <c r="S176" s="15" t="s">
        <v>34</v>
      </c>
      <c r="T176" s="15">
        <f>-$Q176*T$7</f>
        <v>0</v>
      </c>
      <c r="U176" s="15">
        <f t="shared" si="60"/>
        <v>0</v>
      </c>
      <c r="V176" s="15">
        <f t="shared" si="60"/>
        <v>0</v>
      </c>
      <c r="W176" s="15">
        <f t="shared" si="60"/>
        <v>0</v>
      </c>
      <c r="X176" s="15">
        <f t="shared" si="60"/>
        <v>0</v>
      </c>
      <c r="Y176" s="15">
        <f t="shared" si="60"/>
        <v>0</v>
      </c>
      <c r="Z176" s="15"/>
      <c r="AA176" s="15" t="s">
        <v>34</v>
      </c>
      <c r="AB176" s="15">
        <f t="shared" si="59"/>
        <v>0</v>
      </c>
      <c r="AC176" s="15">
        <f t="shared" si="59"/>
        <v>0</v>
      </c>
      <c r="AD176" s="15">
        <f t="shared" si="59"/>
        <v>0</v>
      </c>
      <c r="AE176" s="15">
        <f t="shared" si="59"/>
        <v>0</v>
      </c>
      <c r="AF176" s="15">
        <f t="shared" si="59"/>
        <v>0</v>
      </c>
      <c r="AG176" s="15">
        <f t="shared" si="59"/>
        <v>0</v>
      </c>
      <c r="AH176" s="3"/>
    </row>
    <row r="177" spans="1:34" x14ac:dyDescent="0.25">
      <c r="A177" s="31" t="s">
        <v>249</v>
      </c>
      <c r="B177" s="31" t="s">
        <v>250</v>
      </c>
      <c r="C177" s="2">
        <f>'WC def tax 22'!O178</f>
        <v>0</v>
      </c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2">
        <f t="shared" si="51"/>
        <v>0</v>
      </c>
      <c r="Q177" s="2">
        <f t="shared" si="52"/>
        <v>0</v>
      </c>
      <c r="R177" s="15"/>
      <c r="S177" s="15" t="s">
        <v>34</v>
      </c>
      <c r="T177" s="15">
        <f>-$Q177*T$7</f>
        <v>0</v>
      </c>
      <c r="U177" s="15">
        <f t="shared" si="60"/>
        <v>0</v>
      </c>
      <c r="V177" s="15">
        <f t="shared" si="60"/>
        <v>0</v>
      </c>
      <c r="W177" s="15">
        <f t="shared" si="60"/>
        <v>0</v>
      </c>
      <c r="X177" s="15">
        <f t="shared" si="60"/>
        <v>0</v>
      </c>
      <c r="Y177" s="15">
        <f t="shared" si="60"/>
        <v>0</v>
      </c>
      <c r="Z177" s="15"/>
      <c r="AA177" s="15" t="s">
        <v>34</v>
      </c>
      <c r="AB177" s="15">
        <f t="shared" si="59"/>
        <v>0</v>
      </c>
      <c r="AC177" s="15">
        <f t="shared" si="59"/>
        <v>0</v>
      </c>
      <c r="AD177" s="15">
        <f t="shared" si="59"/>
        <v>0</v>
      </c>
      <c r="AE177" s="15">
        <f t="shared" si="59"/>
        <v>0</v>
      </c>
      <c r="AF177" s="15">
        <f t="shared" si="59"/>
        <v>0</v>
      </c>
      <c r="AG177" s="15">
        <f t="shared" si="59"/>
        <v>0</v>
      </c>
      <c r="AH177" s="3"/>
    </row>
    <row r="178" spans="1:34" x14ac:dyDescent="0.25">
      <c r="A178" s="35"/>
      <c r="B178" s="35"/>
      <c r="C178" s="36" t="s">
        <v>67</v>
      </c>
      <c r="D178" s="36" t="s">
        <v>67</v>
      </c>
      <c r="E178" s="36" t="s">
        <v>67</v>
      </c>
      <c r="F178" s="36" t="s">
        <v>67</v>
      </c>
      <c r="G178" s="36" t="s">
        <v>67</v>
      </c>
      <c r="H178" s="36" t="s">
        <v>67</v>
      </c>
      <c r="I178" s="36" t="s">
        <v>67</v>
      </c>
      <c r="J178" s="36" t="s">
        <v>67</v>
      </c>
      <c r="K178" s="36" t="s">
        <v>67</v>
      </c>
      <c r="L178" s="36" t="s">
        <v>67</v>
      </c>
      <c r="M178" s="36" t="s">
        <v>67</v>
      </c>
      <c r="N178" s="36" t="s">
        <v>67</v>
      </c>
      <c r="O178" s="36" t="s">
        <v>67</v>
      </c>
      <c r="P178" s="36" t="s">
        <v>67</v>
      </c>
      <c r="Q178" s="36" t="s">
        <v>67</v>
      </c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3"/>
    </row>
    <row r="179" spans="1:34" x14ac:dyDescent="0.25">
      <c r="A179" s="37" t="s">
        <v>251</v>
      </c>
      <c r="B179" s="38"/>
      <c r="C179" s="39">
        <f>SUM(C170:C177)</f>
        <v>2747234.4858333301</v>
      </c>
      <c r="D179" s="39">
        <f t="shared" ref="D179:Q179" si="61">SUM(D170:D177)</f>
        <v>2747234.4858333301</v>
      </c>
      <c r="E179" s="39">
        <f t="shared" si="61"/>
        <v>2747234.4858333301</v>
      </c>
      <c r="F179" s="39">
        <f t="shared" si="61"/>
        <v>2747234.4858333301</v>
      </c>
      <c r="G179" s="39">
        <f t="shared" si="61"/>
        <v>2747234.4858333301</v>
      </c>
      <c r="H179" s="39">
        <f t="shared" si="61"/>
        <v>2747234.4858333301</v>
      </c>
      <c r="I179" s="39">
        <f t="shared" si="61"/>
        <v>2747234.4858333301</v>
      </c>
      <c r="J179" s="39">
        <f t="shared" si="61"/>
        <v>2747234.4858333301</v>
      </c>
      <c r="K179" s="39">
        <f t="shared" si="61"/>
        <v>2747234.4858333301</v>
      </c>
      <c r="L179" s="39">
        <f t="shared" si="61"/>
        <v>2747234.4858333301</v>
      </c>
      <c r="M179" s="39">
        <f t="shared" si="61"/>
        <v>2747234.4858333301</v>
      </c>
      <c r="N179" s="39">
        <f t="shared" si="61"/>
        <v>2747234.4858333301</v>
      </c>
      <c r="O179" s="39">
        <f t="shared" si="61"/>
        <v>2747234.4858333301</v>
      </c>
      <c r="P179" s="39">
        <f t="shared" si="61"/>
        <v>35714048.3158333</v>
      </c>
      <c r="Q179" s="39">
        <f t="shared" si="61"/>
        <v>2747234.485833331</v>
      </c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3"/>
    </row>
    <row r="180" spans="1:34" x14ac:dyDescent="0.25">
      <c r="A180" s="35"/>
      <c r="B180" s="35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3"/>
    </row>
    <row r="181" spans="1:34" x14ac:dyDescent="0.25">
      <c r="A181" s="37" t="s">
        <v>252</v>
      </c>
      <c r="B181" s="38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3"/>
    </row>
    <row r="182" spans="1:34" x14ac:dyDescent="0.25">
      <c r="A182" s="31" t="s">
        <v>253</v>
      </c>
      <c r="B182" s="31" t="s">
        <v>254</v>
      </c>
      <c r="C182" s="2">
        <f>'WC def tax 22'!O183</f>
        <v>20873</v>
      </c>
      <c r="D182" s="64">
        <v>20873</v>
      </c>
      <c r="E182" s="64">
        <v>20873</v>
      </c>
      <c r="F182" s="64">
        <v>20873</v>
      </c>
      <c r="G182" s="64">
        <v>20873</v>
      </c>
      <c r="H182" s="64">
        <v>20873</v>
      </c>
      <c r="I182" s="64">
        <v>20873</v>
      </c>
      <c r="J182" s="64">
        <v>20873</v>
      </c>
      <c r="K182" s="64">
        <v>20873</v>
      </c>
      <c r="L182" s="64">
        <v>20873</v>
      </c>
      <c r="M182" s="64">
        <v>20873</v>
      </c>
      <c r="N182" s="64">
        <v>20873</v>
      </c>
      <c r="O182" s="64">
        <v>20873</v>
      </c>
      <c r="P182" s="2">
        <f t="shared" ref="P182:P183" si="62">SUM(C182:O182)</f>
        <v>271349</v>
      </c>
      <c r="Q182" s="2">
        <f t="shared" ref="Q182:Q183" si="63">P182/13</f>
        <v>20873</v>
      </c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3"/>
    </row>
    <row r="183" spans="1:34" x14ac:dyDescent="0.25">
      <c r="A183" s="31" t="s">
        <v>255</v>
      </c>
      <c r="B183" s="31" t="s">
        <v>256</v>
      </c>
      <c r="C183" s="2">
        <f>'WC def tax 22'!O184</f>
        <v>2464378</v>
      </c>
      <c r="D183" s="64">
        <v>2464378</v>
      </c>
      <c r="E183" s="64">
        <v>2464378</v>
      </c>
      <c r="F183" s="64">
        <v>2464378</v>
      </c>
      <c r="G183" s="64">
        <v>2464378</v>
      </c>
      <c r="H183" s="64">
        <v>2464378</v>
      </c>
      <c r="I183" s="64">
        <v>2464378</v>
      </c>
      <c r="J183" s="64">
        <v>2464378</v>
      </c>
      <c r="K183" s="64">
        <v>2464378</v>
      </c>
      <c r="L183" s="64">
        <v>2464378</v>
      </c>
      <c r="M183" s="64">
        <v>2464378</v>
      </c>
      <c r="N183" s="64">
        <v>2464378</v>
      </c>
      <c r="O183" s="64">
        <v>2464378</v>
      </c>
      <c r="P183" s="2">
        <f t="shared" si="62"/>
        <v>32036914</v>
      </c>
      <c r="Q183" s="2">
        <f t="shared" si="63"/>
        <v>2464378</v>
      </c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3"/>
    </row>
    <row r="184" spans="1:34" x14ac:dyDescent="0.25">
      <c r="A184" s="35"/>
      <c r="B184" s="35"/>
      <c r="C184" s="36" t="s">
        <v>67</v>
      </c>
      <c r="D184" s="36" t="s">
        <v>67</v>
      </c>
      <c r="E184" s="36" t="s">
        <v>67</v>
      </c>
      <c r="F184" s="36" t="s">
        <v>67</v>
      </c>
      <c r="G184" s="36" t="s">
        <v>67</v>
      </c>
      <c r="H184" s="36" t="s">
        <v>67</v>
      </c>
      <c r="I184" s="36" t="s">
        <v>67</v>
      </c>
      <c r="J184" s="36" t="s">
        <v>67</v>
      </c>
      <c r="K184" s="36" t="s">
        <v>67</v>
      </c>
      <c r="L184" s="36" t="s">
        <v>67</v>
      </c>
      <c r="M184" s="36" t="s">
        <v>67</v>
      </c>
      <c r="N184" s="36" t="s">
        <v>67</v>
      </c>
      <c r="O184" s="36" t="s">
        <v>67</v>
      </c>
      <c r="P184" s="36" t="s">
        <v>67</v>
      </c>
      <c r="Q184" s="36" t="s">
        <v>67</v>
      </c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3"/>
    </row>
    <row r="185" spans="1:34" x14ac:dyDescent="0.25">
      <c r="A185" s="37" t="s">
        <v>257</v>
      </c>
      <c r="B185" s="38"/>
      <c r="C185" s="39">
        <f>SUM(C182:C183)</f>
        <v>2485251</v>
      </c>
      <c r="D185" s="39">
        <f t="shared" ref="D185:Q185" si="64">SUM(D182:D183)</f>
        <v>2485251</v>
      </c>
      <c r="E185" s="39">
        <f t="shared" si="64"/>
        <v>2485251</v>
      </c>
      <c r="F185" s="39">
        <f t="shared" si="64"/>
        <v>2485251</v>
      </c>
      <c r="G185" s="39">
        <f t="shared" si="64"/>
        <v>2485251</v>
      </c>
      <c r="H185" s="39">
        <f t="shared" si="64"/>
        <v>2485251</v>
      </c>
      <c r="I185" s="39">
        <f t="shared" si="64"/>
        <v>2485251</v>
      </c>
      <c r="J185" s="39">
        <f t="shared" si="64"/>
        <v>2485251</v>
      </c>
      <c r="K185" s="39">
        <f t="shared" si="64"/>
        <v>2485251</v>
      </c>
      <c r="L185" s="39">
        <f t="shared" si="64"/>
        <v>2485251</v>
      </c>
      <c r="M185" s="39">
        <f t="shared" si="64"/>
        <v>2485251</v>
      </c>
      <c r="N185" s="39">
        <f t="shared" si="64"/>
        <v>2485251</v>
      </c>
      <c r="O185" s="39">
        <f t="shared" si="64"/>
        <v>2485251</v>
      </c>
      <c r="P185" s="39">
        <f t="shared" si="64"/>
        <v>32308263</v>
      </c>
      <c r="Q185" s="39">
        <f t="shared" si="64"/>
        <v>2485251</v>
      </c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3"/>
    </row>
    <row r="186" spans="1:34" x14ac:dyDescent="0.25">
      <c r="A186" s="35"/>
      <c r="B186" s="35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27">
        <f t="shared" ref="AH186:AH191" si="65">SUM(AB186:AG186)+O186</f>
        <v>0</v>
      </c>
    </row>
    <row r="187" spans="1:34" x14ac:dyDescent="0.25">
      <c r="A187" s="37" t="s">
        <v>258</v>
      </c>
      <c r="B187" s="38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24"/>
      <c r="Q187" s="24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27">
        <f t="shared" si="65"/>
        <v>0</v>
      </c>
    </row>
    <row r="188" spans="1:34" x14ac:dyDescent="0.25">
      <c r="A188" s="31" t="s">
        <v>259</v>
      </c>
      <c r="B188" s="31" t="s">
        <v>260</v>
      </c>
      <c r="C188" s="2">
        <f>'WC def tax 22'!O189</f>
        <v>0</v>
      </c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2">
        <f t="shared" ref="P188:P193" si="66">SUM(C188:O188)</f>
        <v>0</v>
      </c>
      <c r="Q188" s="2">
        <f t="shared" ref="Q188:Q193" si="67">P188/13</f>
        <v>0</v>
      </c>
      <c r="R188" s="15">
        <f>SUM(T188:Y188)+Q188</f>
        <v>0</v>
      </c>
      <c r="S188" s="15" t="s">
        <v>16</v>
      </c>
      <c r="T188" s="15">
        <f t="shared" ref="T188:Y188" si="68">-$Q188*T5</f>
        <v>0</v>
      </c>
      <c r="U188" s="15">
        <f t="shared" si="68"/>
        <v>0</v>
      </c>
      <c r="V188" s="15">
        <f t="shared" si="68"/>
        <v>0</v>
      </c>
      <c r="W188" s="15">
        <f t="shared" si="68"/>
        <v>0</v>
      </c>
      <c r="X188" s="15">
        <f t="shared" si="68"/>
        <v>0</v>
      </c>
      <c r="Y188" s="15">
        <f t="shared" si="68"/>
        <v>0</v>
      </c>
      <c r="Z188" s="15"/>
      <c r="AA188" s="15" t="s">
        <v>16</v>
      </c>
      <c r="AB188" s="15">
        <f t="shared" ref="AB188:AG193" si="69">-$O188*AB$5</f>
        <v>0</v>
      </c>
      <c r="AC188" s="15">
        <f t="shared" si="69"/>
        <v>0</v>
      </c>
      <c r="AD188" s="15">
        <f t="shared" si="69"/>
        <v>0</v>
      </c>
      <c r="AE188" s="15">
        <f t="shared" si="69"/>
        <v>0</v>
      </c>
      <c r="AF188" s="15">
        <f t="shared" si="69"/>
        <v>0</v>
      </c>
      <c r="AG188" s="15">
        <f t="shared" si="69"/>
        <v>0</v>
      </c>
      <c r="AH188" s="27">
        <f t="shared" si="65"/>
        <v>0</v>
      </c>
    </row>
    <row r="189" spans="1:34" x14ac:dyDescent="0.25">
      <c r="A189" s="31" t="s">
        <v>261</v>
      </c>
      <c r="B189" s="31" t="s">
        <v>262</v>
      </c>
      <c r="C189" s="2">
        <f>'WC def tax 22'!O190</f>
        <v>0</v>
      </c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2">
        <f t="shared" si="66"/>
        <v>0</v>
      </c>
      <c r="Q189" s="2">
        <f t="shared" si="67"/>
        <v>0</v>
      </c>
      <c r="R189" s="15">
        <f>SUM(T189:Y189)+Q189</f>
        <v>0</v>
      </c>
      <c r="S189" s="15" t="s">
        <v>16</v>
      </c>
      <c r="T189" s="15">
        <f t="shared" ref="T189:Y189" si="70">-$Q189*T5</f>
        <v>0</v>
      </c>
      <c r="U189" s="15">
        <f t="shared" si="70"/>
        <v>0</v>
      </c>
      <c r="V189" s="15">
        <f t="shared" si="70"/>
        <v>0</v>
      </c>
      <c r="W189" s="15">
        <f t="shared" si="70"/>
        <v>0</v>
      </c>
      <c r="X189" s="15">
        <f t="shared" si="70"/>
        <v>0</v>
      </c>
      <c r="Y189" s="15">
        <f t="shared" si="70"/>
        <v>0</v>
      </c>
      <c r="Z189" s="15"/>
      <c r="AA189" s="15" t="s">
        <v>16</v>
      </c>
      <c r="AB189" s="15">
        <f t="shared" si="69"/>
        <v>0</v>
      </c>
      <c r="AC189" s="15">
        <f t="shared" si="69"/>
        <v>0</v>
      </c>
      <c r="AD189" s="15">
        <f t="shared" si="69"/>
        <v>0</v>
      </c>
      <c r="AE189" s="15">
        <f t="shared" si="69"/>
        <v>0</v>
      </c>
      <c r="AF189" s="15">
        <f t="shared" si="69"/>
        <v>0</v>
      </c>
      <c r="AG189" s="15">
        <f t="shared" si="69"/>
        <v>0</v>
      </c>
      <c r="AH189" s="27">
        <f t="shared" si="65"/>
        <v>0</v>
      </c>
    </row>
    <row r="190" spans="1:34" x14ac:dyDescent="0.25">
      <c r="A190" s="31" t="s">
        <v>263</v>
      </c>
      <c r="B190" s="31" t="s">
        <v>264</v>
      </c>
      <c r="C190" s="2">
        <f>'WC def tax 22'!O191</f>
        <v>0</v>
      </c>
      <c r="D190" s="158">
        <v>-5734.6749349505217</v>
      </c>
      <c r="E190" s="158">
        <v>-10948.015784902804</v>
      </c>
      <c r="F190" s="158">
        <v>0</v>
      </c>
      <c r="G190" s="158">
        <v>-5213.3408499523121</v>
      </c>
      <c r="H190" s="158">
        <v>-11208.682827402046</v>
      </c>
      <c r="I190" s="158">
        <v>0</v>
      </c>
      <c r="J190" s="158">
        <v>-5579.999054970086</v>
      </c>
      <c r="K190" s="158">
        <v>-11691.426591368525</v>
      </c>
      <c r="L190" s="158">
        <v>0</v>
      </c>
      <c r="M190" s="158">
        <v>-5845.7132956839869</v>
      </c>
      <c r="N190" s="158">
        <v>-15493.176591368045</v>
      </c>
      <c r="O190" s="158">
        <v>-3801.7499999999436</v>
      </c>
      <c r="P190" s="2">
        <f t="shared" si="66"/>
        <v>-75516.779930598263</v>
      </c>
      <c r="Q190" s="2">
        <f t="shared" si="67"/>
        <v>-5808.9830715844819</v>
      </c>
      <c r="R190" s="15">
        <f>SUM(T190:Y190)+Q190</f>
        <v>0</v>
      </c>
      <c r="S190" s="15" t="s">
        <v>16</v>
      </c>
      <c r="T190" s="15">
        <f t="shared" ref="T190:Y190" si="71">-$Q190*T5</f>
        <v>1237.3133942474947</v>
      </c>
      <c r="U190" s="15">
        <f t="shared" si="71"/>
        <v>2021.5261089113997</v>
      </c>
      <c r="V190" s="15">
        <f t="shared" si="71"/>
        <v>836.49356230816534</v>
      </c>
      <c r="W190" s="15">
        <f t="shared" si="71"/>
        <v>5.8089830715844819</v>
      </c>
      <c r="X190" s="15">
        <f t="shared" si="71"/>
        <v>5.8089830715844819</v>
      </c>
      <c r="Y190" s="15">
        <f t="shared" si="71"/>
        <v>1702.0320399742532</v>
      </c>
      <c r="Z190" s="15"/>
      <c r="AA190" s="15" t="s">
        <v>16</v>
      </c>
      <c r="AB190" s="15">
        <f t="shared" si="69"/>
        <v>809.77274999998792</v>
      </c>
      <c r="AC190" s="15">
        <f t="shared" si="69"/>
        <v>1323.0089999999802</v>
      </c>
      <c r="AD190" s="15">
        <f t="shared" si="69"/>
        <v>547.45199999999181</v>
      </c>
      <c r="AE190" s="15">
        <f t="shared" si="69"/>
        <v>3.8017499999999438</v>
      </c>
      <c r="AF190" s="15">
        <f t="shared" si="69"/>
        <v>3.8017499999999438</v>
      </c>
      <c r="AG190" s="15">
        <f t="shared" si="69"/>
        <v>1113.9127499999834</v>
      </c>
      <c r="AH190" s="27">
        <f t="shared" si="65"/>
        <v>0</v>
      </c>
    </row>
    <row r="191" spans="1:34" x14ac:dyDescent="0.25">
      <c r="A191" s="31" t="s">
        <v>265</v>
      </c>
      <c r="B191" s="31" t="s">
        <v>266</v>
      </c>
      <c r="C191" s="2">
        <f>'WC def tax 22'!O192</f>
        <v>0</v>
      </c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2">
        <f t="shared" si="66"/>
        <v>0</v>
      </c>
      <c r="Q191" s="2">
        <f t="shared" si="67"/>
        <v>0</v>
      </c>
      <c r="R191" s="15">
        <f>SUM(T191:Y191)+Q191</f>
        <v>0</v>
      </c>
      <c r="S191" s="15" t="s">
        <v>16</v>
      </c>
      <c r="T191" s="15">
        <f t="shared" ref="T191:Y191" si="72">-$Q191*T5</f>
        <v>0</v>
      </c>
      <c r="U191" s="15">
        <f t="shared" si="72"/>
        <v>0</v>
      </c>
      <c r="V191" s="15">
        <f t="shared" si="72"/>
        <v>0</v>
      </c>
      <c r="W191" s="15">
        <f t="shared" si="72"/>
        <v>0</v>
      </c>
      <c r="X191" s="15">
        <f t="shared" si="72"/>
        <v>0</v>
      </c>
      <c r="Y191" s="15">
        <f t="shared" si="72"/>
        <v>0</v>
      </c>
      <c r="Z191" s="15"/>
      <c r="AA191" s="15" t="s">
        <v>16</v>
      </c>
      <c r="AB191" s="15">
        <f t="shared" si="69"/>
        <v>0</v>
      </c>
      <c r="AC191" s="15">
        <f t="shared" si="69"/>
        <v>0</v>
      </c>
      <c r="AD191" s="15">
        <f t="shared" si="69"/>
        <v>0</v>
      </c>
      <c r="AE191" s="15">
        <f t="shared" si="69"/>
        <v>0</v>
      </c>
      <c r="AF191" s="15">
        <f t="shared" si="69"/>
        <v>0</v>
      </c>
      <c r="AG191" s="15">
        <f t="shared" si="69"/>
        <v>0</v>
      </c>
      <c r="AH191" s="27">
        <f t="shared" si="65"/>
        <v>0</v>
      </c>
    </row>
    <row r="192" spans="1:34" x14ac:dyDescent="0.25">
      <c r="A192" s="31" t="s">
        <v>267</v>
      </c>
      <c r="B192" s="31" t="s">
        <v>268</v>
      </c>
      <c r="C192" s="2">
        <f>'WC def tax 22'!O193</f>
        <v>0</v>
      </c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2">
        <f t="shared" si="66"/>
        <v>0</v>
      </c>
      <c r="Q192" s="2">
        <f t="shared" si="67"/>
        <v>0</v>
      </c>
      <c r="R192" s="15"/>
      <c r="S192" s="15" t="s">
        <v>16</v>
      </c>
      <c r="T192" s="15">
        <f t="shared" ref="T192:Y192" si="73">-$Q192*T5</f>
        <v>0</v>
      </c>
      <c r="U192" s="15">
        <f t="shared" si="73"/>
        <v>0</v>
      </c>
      <c r="V192" s="15">
        <f t="shared" si="73"/>
        <v>0</v>
      </c>
      <c r="W192" s="15">
        <f t="shared" si="73"/>
        <v>0</v>
      </c>
      <c r="X192" s="15">
        <f t="shared" si="73"/>
        <v>0</v>
      </c>
      <c r="Y192" s="15">
        <f t="shared" si="73"/>
        <v>0</v>
      </c>
      <c r="Z192" s="15"/>
      <c r="AA192" s="15" t="s">
        <v>16</v>
      </c>
      <c r="AB192" s="15">
        <f t="shared" si="69"/>
        <v>0</v>
      </c>
      <c r="AC192" s="15">
        <f t="shared" si="69"/>
        <v>0</v>
      </c>
      <c r="AD192" s="15">
        <f t="shared" si="69"/>
        <v>0</v>
      </c>
      <c r="AE192" s="15">
        <f t="shared" si="69"/>
        <v>0</v>
      </c>
      <c r="AF192" s="15">
        <f t="shared" si="69"/>
        <v>0</v>
      </c>
      <c r="AG192" s="15">
        <f t="shared" si="69"/>
        <v>0</v>
      </c>
      <c r="AH192" s="27"/>
    </row>
    <row r="193" spans="1:34" x14ac:dyDescent="0.25">
      <c r="A193" s="31" t="s">
        <v>269</v>
      </c>
      <c r="B193" s="31" t="s">
        <v>270</v>
      </c>
      <c r="C193" s="2">
        <f>'WC def tax 22'!O194</f>
        <v>0</v>
      </c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2">
        <f t="shared" si="66"/>
        <v>0</v>
      </c>
      <c r="Q193" s="2">
        <f t="shared" si="67"/>
        <v>0</v>
      </c>
      <c r="R193" s="15"/>
      <c r="S193" s="15" t="s">
        <v>16</v>
      </c>
      <c r="T193" s="15">
        <f t="shared" ref="T193:Y193" si="74">-$Q193*T5</f>
        <v>0</v>
      </c>
      <c r="U193" s="15">
        <f t="shared" si="74"/>
        <v>0</v>
      </c>
      <c r="V193" s="15">
        <f t="shared" si="74"/>
        <v>0</v>
      </c>
      <c r="W193" s="15">
        <f t="shared" si="74"/>
        <v>0</v>
      </c>
      <c r="X193" s="15">
        <f t="shared" si="74"/>
        <v>0</v>
      </c>
      <c r="Y193" s="15">
        <f t="shared" si="74"/>
        <v>0</v>
      </c>
      <c r="Z193" s="15"/>
      <c r="AA193" s="15" t="s">
        <v>16</v>
      </c>
      <c r="AB193" s="15">
        <f t="shared" si="69"/>
        <v>0</v>
      </c>
      <c r="AC193" s="15">
        <f t="shared" si="69"/>
        <v>0</v>
      </c>
      <c r="AD193" s="15">
        <f t="shared" si="69"/>
        <v>0</v>
      </c>
      <c r="AE193" s="15">
        <f t="shared" si="69"/>
        <v>0</v>
      </c>
      <c r="AF193" s="15">
        <f t="shared" si="69"/>
        <v>0</v>
      </c>
      <c r="AG193" s="15">
        <f t="shared" si="69"/>
        <v>0</v>
      </c>
      <c r="AH193" s="27"/>
    </row>
    <row r="194" spans="1:34" x14ac:dyDescent="0.25">
      <c r="A194" s="35"/>
      <c r="B194" s="35"/>
      <c r="C194" s="36" t="s">
        <v>67</v>
      </c>
      <c r="D194" s="36" t="s">
        <v>67</v>
      </c>
      <c r="E194" s="36" t="s">
        <v>67</v>
      </c>
      <c r="F194" s="36" t="s">
        <v>67</v>
      </c>
      <c r="G194" s="36" t="s">
        <v>67</v>
      </c>
      <c r="H194" s="36" t="s">
        <v>67</v>
      </c>
      <c r="I194" s="36" t="s">
        <v>67</v>
      </c>
      <c r="J194" s="36" t="s">
        <v>67</v>
      </c>
      <c r="K194" s="36" t="s">
        <v>67</v>
      </c>
      <c r="L194" s="36" t="s">
        <v>67</v>
      </c>
      <c r="M194" s="36" t="s">
        <v>67</v>
      </c>
      <c r="N194" s="36" t="s">
        <v>67</v>
      </c>
      <c r="O194" s="36" t="s">
        <v>67</v>
      </c>
      <c r="P194" s="36" t="s">
        <v>67</v>
      </c>
      <c r="Q194" s="36" t="s">
        <v>67</v>
      </c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27"/>
    </row>
    <row r="195" spans="1:34" x14ac:dyDescent="0.25">
      <c r="A195" s="37" t="s">
        <v>271</v>
      </c>
      <c r="B195" s="38"/>
      <c r="C195" s="39">
        <f>SUM(C188:C193)</f>
        <v>0</v>
      </c>
      <c r="D195" s="39">
        <f t="shared" ref="D195:Q195" si="75">SUM(D188:D193)</f>
        <v>-5734.6749349505217</v>
      </c>
      <c r="E195" s="39">
        <f t="shared" si="75"/>
        <v>-10948.015784902804</v>
      </c>
      <c r="F195" s="39">
        <f t="shared" si="75"/>
        <v>0</v>
      </c>
      <c r="G195" s="39">
        <f t="shared" si="75"/>
        <v>-5213.3408499523121</v>
      </c>
      <c r="H195" s="39">
        <f t="shared" si="75"/>
        <v>-11208.682827402046</v>
      </c>
      <c r="I195" s="39">
        <f t="shared" si="75"/>
        <v>0</v>
      </c>
      <c r="J195" s="39">
        <f t="shared" si="75"/>
        <v>-5579.999054970086</v>
      </c>
      <c r="K195" s="39">
        <f t="shared" si="75"/>
        <v>-11691.426591368525</v>
      </c>
      <c r="L195" s="39">
        <f t="shared" si="75"/>
        <v>0</v>
      </c>
      <c r="M195" s="39">
        <f t="shared" si="75"/>
        <v>-5845.7132956839869</v>
      </c>
      <c r="N195" s="39">
        <f t="shared" si="75"/>
        <v>-15493.176591368045</v>
      </c>
      <c r="O195" s="39">
        <f t="shared" si="75"/>
        <v>-3801.7499999999436</v>
      </c>
      <c r="P195" s="39">
        <f t="shared" si="75"/>
        <v>-75516.779930598263</v>
      </c>
      <c r="Q195" s="39">
        <f t="shared" si="75"/>
        <v>-5808.9830715844819</v>
      </c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27"/>
    </row>
    <row r="196" spans="1:34" x14ac:dyDescent="0.25">
      <c r="A196" s="35"/>
      <c r="B196" s="35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27">
        <f>SUM(AB196:AG196)+O196</f>
        <v>0</v>
      </c>
    </row>
    <row r="197" spans="1:34" x14ac:dyDescent="0.25">
      <c r="A197" s="37" t="s">
        <v>272</v>
      </c>
      <c r="B197" s="38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27">
        <f>SUM(AB197:AG197)+O197</f>
        <v>0</v>
      </c>
    </row>
    <row r="198" spans="1:34" x14ac:dyDescent="0.25">
      <c r="A198" s="31" t="s">
        <v>273</v>
      </c>
      <c r="B198" s="31" t="s">
        <v>274</v>
      </c>
      <c r="C198" s="2">
        <f>'WC def tax 22'!O199</f>
        <v>0</v>
      </c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2">
        <f t="shared" ref="P198:P201" si="76">SUM(C198:O198)</f>
        <v>0</v>
      </c>
      <c r="Q198" s="2">
        <f t="shared" ref="Q198:Q201" si="77">P198/13</f>
        <v>0</v>
      </c>
      <c r="R198" s="15">
        <f>SUM(T198:Y198)+Q198</f>
        <v>0</v>
      </c>
      <c r="S198" s="15" t="s">
        <v>34</v>
      </c>
      <c r="T198" s="15">
        <f t="shared" ref="T198:Y201" si="78">-$Q198*T$7</f>
        <v>0</v>
      </c>
      <c r="U198" s="15">
        <f t="shared" si="78"/>
        <v>0</v>
      </c>
      <c r="V198" s="15">
        <f t="shared" si="78"/>
        <v>0</v>
      </c>
      <c r="W198" s="15">
        <f t="shared" si="78"/>
        <v>0</v>
      </c>
      <c r="X198" s="15">
        <f t="shared" si="78"/>
        <v>0</v>
      </c>
      <c r="Y198" s="15">
        <f t="shared" si="78"/>
        <v>0</v>
      </c>
      <c r="Z198" s="15"/>
      <c r="AA198" s="15" t="s">
        <v>34</v>
      </c>
      <c r="AB198" s="15">
        <f>-$O198*AB$7</f>
        <v>0</v>
      </c>
      <c r="AC198" s="15">
        <f t="shared" ref="AC198:AG201" si="79">-$O198*AC$7</f>
        <v>0</v>
      </c>
      <c r="AD198" s="15">
        <f t="shared" si="79"/>
        <v>0</v>
      </c>
      <c r="AE198" s="15">
        <f t="shared" si="79"/>
        <v>0</v>
      </c>
      <c r="AF198" s="15">
        <f t="shared" si="79"/>
        <v>0</v>
      </c>
      <c r="AG198" s="15">
        <f t="shared" si="79"/>
        <v>0</v>
      </c>
      <c r="AH198" s="27"/>
    </row>
    <row r="199" spans="1:34" x14ac:dyDescent="0.25">
      <c r="A199" s="31" t="s">
        <v>275</v>
      </c>
      <c r="B199" s="31" t="s">
        <v>276</v>
      </c>
      <c r="C199" s="2">
        <f>'WC def tax 22'!O200</f>
        <v>843156.12</v>
      </c>
      <c r="D199" s="152">
        <v>843156.12</v>
      </c>
      <c r="E199" s="152">
        <v>843156.12</v>
      </c>
      <c r="F199" s="152">
        <v>843156.12</v>
      </c>
      <c r="G199" s="152">
        <v>843156.12</v>
      </c>
      <c r="H199" s="152">
        <v>843156.12</v>
      </c>
      <c r="I199" s="152">
        <v>843156.12</v>
      </c>
      <c r="J199" s="152">
        <v>843156.12</v>
      </c>
      <c r="K199" s="152">
        <v>843156.12</v>
      </c>
      <c r="L199" s="152">
        <v>843156.12</v>
      </c>
      <c r="M199" s="152">
        <v>843156.12</v>
      </c>
      <c r="N199" s="152">
        <v>843156.12</v>
      </c>
      <c r="O199" s="152">
        <v>843156.12</v>
      </c>
      <c r="P199" s="2">
        <f t="shared" si="76"/>
        <v>10961029.559999997</v>
      </c>
      <c r="Q199" s="2">
        <f t="shared" si="77"/>
        <v>843156.11999999976</v>
      </c>
      <c r="R199" s="15">
        <f>SUM(T199:Y199)+Q199</f>
        <v>0</v>
      </c>
      <c r="S199" s="15" t="s">
        <v>34</v>
      </c>
      <c r="T199" s="15">
        <f t="shared" si="78"/>
        <v>-161885.97503999996</v>
      </c>
      <c r="U199" s="15">
        <f t="shared" si="78"/>
        <v>-333974.13913199992</v>
      </c>
      <c r="V199" s="15">
        <f t="shared" si="78"/>
        <v>-115512.38843999998</v>
      </c>
      <c r="W199" s="15">
        <f t="shared" si="78"/>
        <v>-2698.0995839999996</v>
      </c>
      <c r="X199" s="15">
        <f t="shared" si="78"/>
        <v>-1854.9434639999995</v>
      </c>
      <c r="Y199" s="15">
        <f t="shared" si="78"/>
        <v>-227230.57433999996</v>
      </c>
      <c r="Z199" s="15"/>
      <c r="AA199" s="15" t="s">
        <v>34</v>
      </c>
      <c r="AB199" s="15">
        <f>-$O199*AB$7</f>
        <v>-161885.97503999999</v>
      </c>
      <c r="AC199" s="15">
        <f t="shared" si="79"/>
        <v>-333974.13913199998</v>
      </c>
      <c r="AD199" s="15">
        <f t="shared" si="79"/>
        <v>-115512.38844000001</v>
      </c>
      <c r="AE199" s="15">
        <f t="shared" si="79"/>
        <v>-2698.099584</v>
      </c>
      <c r="AF199" s="15">
        <f t="shared" si="79"/>
        <v>-1854.9434640000002</v>
      </c>
      <c r="AG199" s="15">
        <f t="shared" si="79"/>
        <v>-227230.57434000002</v>
      </c>
      <c r="AH199" s="27"/>
    </row>
    <row r="200" spans="1:34" x14ac:dyDescent="0.25">
      <c r="A200" s="31" t="s">
        <v>277</v>
      </c>
      <c r="B200" s="31" t="s">
        <v>278</v>
      </c>
      <c r="C200" s="2">
        <f>'WC def tax 22'!O201</f>
        <v>0</v>
      </c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2">
        <f t="shared" si="76"/>
        <v>0</v>
      </c>
      <c r="Q200" s="2">
        <f t="shared" si="77"/>
        <v>0</v>
      </c>
      <c r="R200" s="15">
        <f>SUM(T200:Y200)+Q200</f>
        <v>0</v>
      </c>
      <c r="S200" s="15" t="s">
        <v>34</v>
      </c>
      <c r="T200" s="15">
        <f t="shared" si="78"/>
        <v>0</v>
      </c>
      <c r="U200" s="15">
        <f t="shared" si="78"/>
        <v>0</v>
      </c>
      <c r="V200" s="15">
        <f t="shared" si="78"/>
        <v>0</v>
      </c>
      <c r="W200" s="15">
        <f t="shared" si="78"/>
        <v>0</v>
      </c>
      <c r="X200" s="15">
        <f t="shared" si="78"/>
        <v>0</v>
      </c>
      <c r="Y200" s="15">
        <f t="shared" si="78"/>
        <v>0</v>
      </c>
      <c r="Z200" s="15"/>
      <c r="AA200" s="15" t="s">
        <v>34</v>
      </c>
      <c r="AB200" s="15">
        <f>-$O200*AB$7</f>
        <v>0</v>
      </c>
      <c r="AC200" s="15">
        <f t="shared" si="79"/>
        <v>0</v>
      </c>
      <c r="AD200" s="15">
        <f t="shared" si="79"/>
        <v>0</v>
      </c>
      <c r="AE200" s="15">
        <f t="shared" si="79"/>
        <v>0</v>
      </c>
      <c r="AF200" s="15">
        <f t="shared" si="79"/>
        <v>0</v>
      </c>
      <c r="AG200" s="15">
        <f t="shared" si="79"/>
        <v>0</v>
      </c>
      <c r="AH200" s="27"/>
    </row>
    <row r="201" spans="1:34" x14ac:dyDescent="0.25">
      <c r="A201" s="31" t="s">
        <v>279</v>
      </c>
      <c r="B201" s="31" t="s">
        <v>280</v>
      </c>
      <c r="C201" s="2">
        <f>'WC def tax 22'!O202</f>
        <v>0</v>
      </c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2">
        <f t="shared" si="76"/>
        <v>0</v>
      </c>
      <c r="Q201" s="2">
        <f t="shared" si="77"/>
        <v>0</v>
      </c>
      <c r="R201" s="15">
        <f>SUM(T201:Y201)+Q201</f>
        <v>0</v>
      </c>
      <c r="S201" s="15" t="s">
        <v>34</v>
      </c>
      <c r="T201" s="15">
        <f t="shared" si="78"/>
        <v>0</v>
      </c>
      <c r="U201" s="15">
        <f t="shared" si="78"/>
        <v>0</v>
      </c>
      <c r="V201" s="15">
        <f t="shared" si="78"/>
        <v>0</v>
      </c>
      <c r="W201" s="15">
        <f t="shared" si="78"/>
        <v>0</v>
      </c>
      <c r="X201" s="15">
        <f t="shared" si="78"/>
        <v>0</v>
      </c>
      <c r="Y201" s="15">
        <f t="shared" si="78"/>
        <v>0</v>
      </c>
      <c r="Z201" s="15"/>
      <c r="AA201" s="15" t="s">
        <v>34</v>
      </c>
      <c r="AB201" s="15">
        <f>-$O201*AB$7</f>
        <v>0</v>
      </c>
      <c r="AC201" s="15">
        <f t="shared" si="79"/>
        <v>0</v>
      </c>
      <c r="AD201" s="15">
        <f t="shared" si="79"/>
        <v>0</v>
      </c>
      <c r="AE201" s="15">
        <f t="shared" si="79"/>
        <v>0</v>
      </c>
      <c r="AF201" s="15">
        <f t="shared" si="79"/>
        <v>0</v>
      </c>
      <c r="AG201" s="15">
        <f t="shared" si="79"/>
        <v>0</v>
      </c>
      <c r="AH201" s="27"/>
    </row>
    <row r="202" spans="1:34" x14ac:dyDescent="0.25">
      <c r="A202" s="35"/>
      <c r="B202" s="35"/>
      <c r="C202" s="36" t="s">
        <v>67</v>
      </c>
      <c r="D202" s="36" t="s">
        <v>67</v>
      </c>
      <c r="E202" s="36" t="s">
        <v>67</v>
      </c>
      <c r="F202" s="36" t="s">
        <v>67</v>
      </c>
      <c r="G202" s="36" t="s">
        <v>67</v>
      </c>
      <c r="H202" s="36" t="s">
        <v>67</v>
      </c>
      <c r="I202" s="36" t="s">
        <v>67</v>
      </c>
      <c r="J202" s="36" t="s">
        <v>67</v>
      </c>
      <c r="K202" s="36" t="s">
        <v>67</v>
      </c>
      <c r="L202" s="36" t="s">
        <v>67</v>
      </c>
      <c r="M202" s="36" t="s">
        <v>67</v>
      </c>
      <c r="N202" s="36" t="s">
        <v>67</v>
      </c>
      <c r="O202" s="36" t="s">
        <v>67</v>
      </c>
      <c r="P202" s="36" t="s">
        <v>67</v>
      </c>
      <c r="Q202" s="36" t="s">
        <v>67</v>
      </c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27"/>
    </row>
    <row r="203" spans="1:34" x14ac:dyDescent="0.25">
      <c r="A203" s="37" t="s">
        <v>281</v>
      </c>
      <c r="B203" s="38"/>
      <c r="C203" s="39">
        <f>SUM(C198:C201)</f>
        <v>843156.12</v>
      </c>
      <c r="D203" s="39">
        <f t="shared" ref="D203:Q203" si="80">SUM(D198:D201)</f>
        <v>843156.12</v>
      </c>
      <c r="E203" s="39">
        <f t="shared" si="80"/>
        <v>843156.12</v>
      </c>
      <c r="F203" s="39">
        <f t="shared" si="80"/>
        <v>843156.12</v>
      </c>
      <c r="G203" s="39">
        <f t="shared" si="80"/>
        <v>843156.12</v>
      </c>
      <c r="H203" s="39">
        <f t="shared" si="80"/>
        <v>843156.12</v>
      </c>
      <c r="I203" s="39">
        <f t="shared" si="80"/>
        <v>843156.12</v>
      </c>
      <c r="J203" s="39">
        <f t="shared" si="80"/>
        <v>843156.12</v>
      </c>
      <c r="K203" s="39">
        <f t="shared" si="80"/>
        <v>843156.12</v>
      </c>
      <c r="L203" s="39">
        <f t="shared" si="80"/>
        <v>843156.12</v>
      </c>
      <c r="M203" s="39">
        <f t="shared" si="80"/>
        <v>843156.12</v>
      </c>
      <c r="N203" s="39">
        <f t="shared" si="80"/>
        <v>843156.12</v>
      </c>
      <c r="O203" s="39">
        <f t="shared" si="80"/>
        <v>843156.12</v>
      </c>
      <c r="P203" s="39">
        <f t="shared" si="80"/>
        <v>10961029.559999997</v>
      </c>
      <c r="Q203" s="39">
        <f t="shared" si="80"/>
        <v>843156.11999999976</v>
      </c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27"/>
    </row>
    <row r="204" spans="1:34" x14ac:dyDescent="0.25">
      <c r="A204" s="35"/>
      <c r="B204" s="35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27">
        <f t="shared" ref="AH204:AH209" si="81">SUM(AB204:AG204)+O204</f>
        <v>0</v>
      </c>
    </row>
    <row r="205" spans="1:34" x14ac:dyDescent="0.25">
      <c r="A205" s="37" t="s">
        <v>282</v>
      </c>
      <c r="B205" s="38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27">
        <f t="shared" si="81"/>
        <v>0</v>
      </c>
    </row>
    <row r="206" spans="1:34" x14ac:dyDescent="0.25">
      <c r="A206" s="31" t="s">
        <v>283</v>
      </c>
      <c r="B206" s="31" t="s">
        <v>284</v>
      </c>
      <c r="C206" s="2">
        <f>'WC def tax 22'!O207</f>
        <v>0</v>
      </c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2">
        <f t="shared" ref="P206:P211" si="82">SUM(C206:O206)</f>
        <v>0</v>
      </c>
      <c r="Q206" s="2">
        <f t="shared" ref="Q206:Q211" si="83">P206/13</f>
        <v>0</v>
      </c>
      <c r="R206" s="15">
        <f>SUM(T206:Y206)+Q206</f>
        <v>0</v>
      </c>
      <c r="S206" s="15" t="s">
        <v>34</v>
      </c>
      <c r="T206" s="15">
        <f t="shared" ref="T206:Y211" si="84">-$Q206*T$7</f>
        <v>0</v>
      </c>
      <c r="U206" s="15">
        <f t="shared" si="84"/>
        <v>0</v>
      </c>
      <c r="V206" s="15">
        <f t="shared" si="84"/>
        <v>0</v>
      </c>
      <c r="W206" s="15">
        <f t="shared" si="84"/>
        <v>0</v>
      </c>
      <c r="X206" s="15">
        <f t="shared" si="84"/>
        <v>0</v>
      </c>
      <c r="Y206" s="15">
        <f t="shared" si="84"/>
        <v>0</v>
      </c>
      <c r="Z206" s="15"/>
      <c r="AA206" s="15" t="s">
        <v>34</v>
      </c>
      <c r="AB206" s="15">
        <f t="shared" ref="AB206:AG211" si="85">-$O206*AB$7</f>
        <v>0</v>
      </c>
      <c r="AC206" s="15">
        <f t="shared" si="85"/>
        <v>0</v>
      </c>
      <c r="AD206" s="15">
        <f t="shared" si="85"/>
        <v>0</v>
      </c>
      <c r="AE206" s="15">
        <f t="shared" si="85"/>
        <v>0</v>
      </c>
      <c r="AF206" s="15">
        <f t="shared" si="85"/>
        <v>0</v>
      </c>
      <c r="AG206" s="15">
        <f t="shared" si="85"/>
        <v>0</v>
      </c>
      <c r="AH206" s="27">
        <f t="shared" si="81"/>
        <v>0</v>
      </c>
    </row>
    <row r="207" spans="1:34" x14ac:dyDescent="0.25">
      <c r="A207" s="31" t="s">
        <v>285</v>
      </c>
      <c r="B207" s="31" t="s">
        <v>286</v>
      </c>
      <c r="C207" s="2">
        <f>'WC def tax 22'!O208</f>
        <v>843156.12</v>
      </c>
      <c r="D207" s="158">
        <v>338036.37</v>
      </c>
      <c r="E207" s="158">
        <v>338036.37</v>
      </c>
      <c r="F207" s="158">
        <v>338036.37</v>
      </c>
      <c r="G207" s="158">
        <v>338036.37</v>
      </c>
      <c r="H207" s="158">
        <v>338036.37</v>
      </c>
      <c r="I207" s="158">
        <v>338036.37</v>
      </c>
      <c r="J207" s="158">
        <v>338036.37</v>
      </c>
      <c r="K207" s="158">
        <v>338036.37</v>
      </c>
      <c r="L207" s="158">
        <v>338036.37</v>
      </c>
      <c r="M207" s="158">
        <v>338036.37</v>
      </c>
      <c r="N207" s="158">
        <v>338036.37</v>
      </c>
      <c r="O207" s="158">
        <v>338036.37</v>
      </c>
      <c r="P207" s="2">
        <f t="shared" si="82"/>
        <v>4899592.5600000005</v>
      </c>
      <c r="Q207" s="2">
        <f t="shared" si="83"/>
        <v>376891.73538461543</v>
      </c>
      <c r="R207" s="15">
        <f>SUM(T207:Y207)+Q207</f>
        <v>0</v>
      </c>
      <c r="S207" s="15" t="s">
        <v>34</v>
      </c>
      <c r="T207" s="15">
        <f t="shared" si="84"/>
        <v>-72363.213193846168</v>
      </c>
      <c r="U207" s="15">
        <f t="shared" si="84"/>
        <v>-149286.81638584618</v>
      </c>
      <c r="V207" s="15">
        <f t="shared" si="84"/>
        <v>-51634.167747692321</v>
      </c>
      <c r="W207" s="15">
        <f t="shared" si="84"/>
        <v>-1206.0535532307695</v>
      </c>
      <c r="X207" s="15">
        <f t="shared" si="84"/>
        <v>-829.16181784615401</v>
      </c>
      <c r="Y207" s="15">
        <f t="shared" si="84"/>
        <v>-101572.32268615387</v>
      </c>
      <c r="Z207" s="15"/>
      <c r="AA207" s="15" t="s">
        <v>34</v>
      </c>
      <c r="AB207" s="15">
        <f t="shared" si="85"/>
        <v>-64902.983039999999</v>
      </c>
      <c r="AC207" s="15">
        <f t="shared" si="85"/>
        <v>-133896.20615700001</v>
      </c>
      <c r="AD207" s="15">
        <f t="shared" si="85"/>
        <v>-46310.982690000004</v>
      </c>
      <c r="AE207" s="15">
        <f t="shared" si="85"/>
        <v>-1081.7163840000001</v>
      </c>
      <c r="AF207" s="15">
        <f t="shared" si="85"/>
        <v>-743.68001400000003</v>
      </c>
      <c r="AG207" s="15">
        <f t="shared" si="85"/>
        <v>-91100.801715000009</v>
      </c>
      <c r="AH207" s="27">
        <f t="shared" si="81"/>
        <v>0</v>
      </c>
    </row>
    <row r="208" spans="1:34" x14ac:dyDescent="0.25">
      <c r="A208" s="31" t="s">
        <v>287</v>
      </c>
      <c r="B208" s="31" t="s">
        <v>288</v>
      </c>
      <c r="C208" s="2">
        <f>'WC def tax 22'!O209</f>
        <v>0</v>
      </c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2">
        <f t="shared" si="82"/>
        <v>0</v>
      </c>
      <c r="Q208" s="2">
        <f t="shared" si="83"/>
        <v>0</v>
      </c>
      <c r="R208" s="15">
        <f>SUM(T208:Y208)+Q208</f>
        <v>0</v>
      </c>
      <c r="S208" s="15" t="s">
        <v>34</v>
      </c>
      <c r="T208" s="15">
        <f t="shared" si="84"/>
        <v>0</v>
      </c>
      <c r="U208" s="15">
        <f t="shared" si="84"/>
        <v>0</v>
      </c>
      <c r="V208" s="15">
        <f t="shared" si="84"/>
        <v>0</v>
      </c>
      <c r="W208" s="15">
        <f t="shared" si="84"/>
        <v>0</v>
      </c>
      <c r="X208" s="15">
        <f t="shared" si="84"/>
        <v>0</v>
      </c>
      <c r="Y208" s="15">
        <f t="shared" si="84"/>
        <v>0</v>
      </c>
      <c r="Z208" s="15"/>
      <c r="AA208" s="15" t="s">
        <v>34</v>
      </c>
      <c r="AB208" s="15">
        <f t="shared" si="85"/>
        <v>0</v>
      </c>
      <c r="AC208" s="15">
        <f t="shared" si="85"/>
        <v>0</v>
      </c>
      <c r="AD208" s="15">
        <f t="shared" si="85"/>
        <v>0</v>
      </c>
      <c r="AE208" s="15">
        <f t="shared" si="85"/>
        <v>0</v>
      </c>
      <c r="AF208" s="15">
        <f t="shared" si="85"/>
        <v>0</v>
      </c>
      <c r="AG208" s="15">
        <f t="shared" si="85"/>
        <v>0</v>
      </c>
      <c r="AH208" s="27">
        <f t="shared" si="81"/>
        <v>0</v>
      </c>
    </row>
    <row r="209" spans="1:34" x14ac:dyDescent="0.25">
      <c r="A209" s="31" t="s">
        <v>289</v>
      </c>
      <c r="B209" s="31" t="s">
        <v>290</v>
      </c>
      <c r="C209" s="2">
        <f>'WC def tax 22'!O210</f>
        <v>0</v>
      </c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2">
        <f t="shared" si="82"/>
        <v>0</v>
      </c>
      <c r="Q209" s="2">
        <f t="shared" si="83"/>
        <v>0</v>
      </c>
      <c r="R209" s="15">
        <f>SUM(T209:Y209)+Q209</f>
        <v>0</v>
      </c>
      <c r="S209" s="15" t="s">
        <v>34</v>
      </c>
      <c r="T209" s="15">
        <f t="shared" si="84"/>
        <v>0</v>
      </c>
      <c r="U209" s="15">
        <f t="shared" si="84"/>
        <v>0</v>
      </c>
      <c r="V209" s="15">
        <f t="shared" si="84"/>
        <v>0</v>
      </c>
      <c r="W209" s="15">
        <f t="shared" si="84"/>
        <v>0</v>
      </c>
      <c r="X209" s="15">
        <f t="shared" si="84"/>
        <v>0</v>
      </c>
      <c r="Y209" s="15">
        <f t="shared" si="84"/>
        <v>0</v>
      </c>
      <c r="Z209" s="15"/>
      <c r="AA209" s="15" t="s">
        <v>34</v>
      </c>
      <c r="AB209" s="15">
        <f t="shared" si="85"/>
        <v>0</v>
      </c>
      <c r="AC209" s="15">
        <f t="shared" si="85"/>
        <v>0</v>
      </c>
      <c r="AD209" s="15">
        <f t="shared" si="85"/>
        <v>0</v>
      </c>
      <c r="AE209" s="15">
        <f t="shared" si="85"/>
        <v>0</v>
      </c>
      <c r="AF209" s="15">
        <f t="shared" si="85"/>
        <v>0</v>
      </c>
      <c r="AG209" s="15">
        <f t="shared" si="85"/>
        <v>0</v>
      </c>
      <c r="AH209" s="27">
        <f t="shared" si="81"/>
        <v>0</v>
      </c>
    </row>
    <row r="210" spans="1:34" x14ac:dyDescent="0.25">
      <c r="A210" s="31" t="s">
        <v>291</v>
      </c>
      <c r="B210" s="31" t="s">
        <v>292</v>
      </c>
      <c r="C210" s="2">
        <f>'WC def tax 22'!O211</f>
        <v>0</v>
      </c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2">
        <f t="shared" si="82"/>
        <v>0</v>
      </c>
      <c r="Q210" s="2">
        <f t="shared" si="83"/>
        <v>0</v>
      </c>
      <c r="R210" s="15">
        <f>SUM(T210:Y210)+Q210</f>
        <v>0</v>
      </c>
      <c r="S210" s="15" t="s">
        <v>34</v>
      </c>
      <c r="T210" s="15">
        <f t="shared" si="84"/>
        <v>0</v>
      </c>
      <c r="U210" s="15">
        <f t="shared" si="84"/>
        <v>0</v>
      </c>
      <c r="V210" s="15">
        <f t="shared" si="84"/>
        <v>0</v>
      </c>
      <c r="W210" s="15">
        <f t="shared" si="84"/>
        <v>0</v>
      </c>
      <c r="X210" s="15">
        <f t="shared" si="84"/>
        <v>0</v>
      </c>
      <c r="Y210" s="15">
        <f t="shared" si="84"/>
        <v>0</v>
      </c>
      <c r="Z210" s="15"/>
      <c r="AA210" s="15" t="s">
        <v>34</v>
      </c>
      <c r="AB210" s="15">
        <f t="shared" si="85"/>
        <v>0</v>
      </c>
      <c r="AC210" s="15">
        <f t="shared" si="85"/>
        <v>0</v>
      </c>
      <c r="AD210" s="15">
        <f t="shared" si="85"/>
        <v>0</v>
      </c>
      <c r="AE210" s="15">
        <f t="shared" si="85"/>
        <v>0</v>
      </c>
      <c r="AF210" s="15">
        <f t="shared" si="85"/>
        <v>0</v>
      </c>
      <c r="AG210" s="15">
        <f t="shared" si="85"/>
        <v>0</v>
      </c>
      <c r="AH210" s="27"/>
    </row>
    <row r="211" spans="1:34" x14ac:dyDescent="0.25">
      <c r="A211" s="31" t="s">
        <v>293</v>
      </c>
      <c r="B211" s="31" t="s">
        <v>294</v>
      </c>
      <c r="C211" s="2">
        <f>'WC def tax 22'!O212</f>
        <v>0</v>
      </c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2">
        <f t="shared" si="82"/>
        <v>0</v>
      </c>
      <c r="Q211" s="2">
        <f t="shared" si="83"/>
        <v>0</v>
      </c>
      <c r="R211" s="15"/>
      <c r="S211" s="15" t="s">
        <v>34</v>
      </c>
      <c r="T211" s="15">
        <f t="shared" si="84"/>
        <v>0</v>
      </c>
      <c r="U211" s="15">
        <f t="shared" si="84"/>
        <v>0</v>
      </c>
      <c r="V211" s="15">
        <f t="shared" si="84"/>
        <v>0</v>
      </c>
      <c r="W211" s="15">
        <f t="shared" si="84"/>
        <v>0</v>
      </c>
      <c r="X211" s="15">
        <f t="shared" si="84"/>
        <v>0</v>
      </c>
      <c r="Y211" s="15">
        <f t="shared" si="84"/>
        <v>0</v>
      </c>
      <c r="Z211" s="15"/>
      <c r="AA211" s="15" t="s">
        <v>34</v>
      </c>
      <c r="AB211" s="15">
        <f t="shared" si="85"/>
        <v>0</v>
      </c>
      <c r="AC211" s="15">
        <f t="shared" si="85"/>
        <v>0</v>
      </c>
      <c r="AD211" s="15">
        <f t="shared" si="85"/>
        <v>0</v>
      </c>
      <c r="AE211" s="15">
        <f t="shared" si="85"/>
        <v>0</v>
      </c>
      <c r="AF211" s="15">
        <f t="shared" si="85"/>
        <v>0</v>
      </c>
      <c r="AG211" s="15">
        <f t="shared" si="85"/>
        <v>0</v>
      </c>
      <c r="AH211" s="27"/>
    </row>
    <row r="212" spans="1:34" x14ac:dyDescent="0.25">
      <c r="A212" s="35"/>
      <c r="B212" s="35"/>
      <c r="C212" s="36" t="s">
        <v>67</v>
      </c>
      <c r="D212" s="36" t="s">
        <v>67</v>
      </c>
      <c r="E212" s="36" t="s">
        <v>67</v>
      </c>
      <c r="F212" s="36" t="s">
        <v>67</v>
      </c>
      <c r="G212" s="36" t="s">
        <v>67</v>
      </c>
      <c r="H212" s="36" t="s">
        <v>67</v>
      </c>
      <c r="I212" s="36" t="s">
        <v>67</v>
      </c>
      <c r="J212" s="36" t="s">
        <v>67</v>
      </c>
      <c r="K212" s="36" t="s">
        <v>67</v>
      </c>
      <c r="L212" s="36" t="s">
        <v>67</v>
      </c>
      <c r="M212" s="36" t="s">
        <v>67</v>
      </c>
      <c r="N212" s="36" t="s">
        <v>67</v>
      </c>
      <c r="O212" s="36" t="s">
        <v>67</v>
      </c>
      <c r="P212" s="36" t="s">
        <v>67</v>
      </c>
      <c r="Q212" s="36" t="s">
        <v>67</v>
      </c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27"/>
    </row>
    <row r="213" spans="1:34" x14ac:dyDescent="0.25">
      <c r="A213" s="37" t="s">
        <v>295</v>
      </c>
      <c r="B213" s="38"/>
      <c r="C213" s="39">
        <f>SUM(C206:C211)</f>
        <v>843156.12</v>
      </c>
      <c r="D213" s="39">
        <f t="shared" ref="D213:Q213" si="86">SUM(D206:D211)</f>
        <v>338036.37</v>
      </c>
      <c r="E213" s="39">
        <f t="shared" si="86"/>
        <v>338036.37</v>
      </c>
      <c r="F213" s="39">
        <f t="shared" si="86"/>
        <v>338036.37</v>
      </c>
      <c r="G213" s="39">
        <f t="shared" si="86"/>
        <v>338036.37</v>
      </c>
      <c r="H213" s="39">
        <f t="shared" si="86"/>
        <v>338036.37</v>
      </c>
      <c r="I213" s="39">
        <f t="shared" si="86"/>
        <v>338036.37</v>
      </c>
      <c r="J213" s="39">
        <f t="shared" si="86"/>
        <v>338036.37</v>
      </c>
      <c r="K213" s="39">
        <f t="shared" si="86"/>
        <v>338036.37</v>
      </c>
      <c r="L213" s="39">
        <f t="shared" si="86"/>
        <v>338036.37</v>
      </c>
      <c r="M213" s="39">
        <f t="shared" si="86"/>
        <v>338036.37</v>
      </c>
      <c r="N213" s="39">
        <f t="shared" si="86"/>
        <v>338036.37</v>
      </c>
      <c r="O213" s="39">
        <f t="shared" si="86"/>
        <v>338036.37</v>
      </c>
      <c r="P213" s="39">
        <f t="shared" si="86"/>
        <v>4899592.5600000005</v>
      </c>
      <c r="Q213" s="39">
        <f t="shared" si="86"/>
        <v>376891.73538461543</v>
      </c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27"/>
    </row>
    <row r="214" spans="1:34" x14ac:dyDescent="0.25">
      <c r="A214" s="35"/>
      <c r="B214" s="35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27"/>
    </row>
    <row r="215" spans="1:34" ht="15.75" x14ac:dyDescent="0.3">
      <c r="A215" s="56" t="s">
        <v>296</v>
      </c>
      <c r="B215" s="54"/>
      <c r="C215" s="55">
        <f>C213+C203+C195+C185+C179</f>
        <v>6918797.7258333303</v>
      </c>
      <c r="D215" s="55">
        <f t="shared" ref="D215:Q215" si="87">D213+D203+D195+D185+D179</f>
        <v>6407943.3008983796</v>
      </c>
      <c r="E215" s="55">
        <f t="shared" si="87"/>
        <v>6402729.9600484278</v>
      </c>
      <c r="F215" s="55">
        <f t="shared" si="87"/>
        <v>6413677.9758333303</v>
      </c>
      <c r="G215" s="55">
        <f t="shared" si="87"/>
        <v>6408464.6349833775</v>
      </c>
      <c r="H215" s="55">
        <f t="shared" si="87"/>
        <v>6402469.2930059284</v>
      </c>
      <c r="I215" s="55">
        <f t="shared" si="87"/>
        <v>6413677.9758333303</v>
      </c>
      <c r="J215" s="55">
        <f t="shared" si="87"/>
        <v>6408097.9767783601</v>
      </c>
      <c r="K215" s="55">
        <f t="shared" si="87"/>
        <v>6401986.5492419619</v>
      </c>
      <c r="L215" s="55">
        <f t="shared" si="87"/>
        <v>6413677.9758333303</v>
      </c>
      <c r="M215" s="55">
        <f t="shared" si="87"/>
        <v>6407832.2625376461</v>
      </c>
      <c r="N215" s="55">
        <f t="shared" si="87"/>
        <v>6398184.7992419619</v>
      </c>
      <c r="O215" s="55">
        <f t="shared" si="87"/>
        <v>6409876.2258333303</v>
      </c>
      <c r="P215" s="55">
        <f t="shared" si="87"/>
        <v>83807416.655902699</v>
      </c>
      <c r="Q215" s="55">
        <f t="shared" si="87"/>
        <v>6446724.358146362</v>
      </c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27"/>
    </row>
    <row r="216" spans="1:34" x14ac:dyDescent="0.25">
      <c r="A216" s="35"/>
      <c r="B216" s="35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27">
        <f>SUM(AB216:AG216)+O216</f>
        <v>0</v>
      </c>
    </row>
    <row r="217" spans="1:34" ht="15.75" x14ac:dyDescent="0.3">
      <c r="A217" s="56" t="s">
        <v>297</v>
      </c>
      <c r="B217" s="54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27">
        <f>SUM(AB217:AG217)+O217</f>
        <v>0</v>
      </c>
    </row>
    <row r="218" spans="1:34" x14ac:dyDescent="0.25">
      <c r="A218" s="37" t="s">
        <v>298</v>
      </c>
      <c r="B218" s="38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15"/>
      <c r="S218" s="15" t="s">
        <v>299</v>
      </c>
      <c r="T218" s="15"/>
      <c r="U218" s="15"/>
      <c r="V218" s="15"/>
      <c r="W218" s="15"/>
      <c r="X218" s="15"/>
      <c r="Y218" s="15"/>
      <c r="Z218" s="15"/>
      <c r="AA218" s="15" t="s">
        <v>299</v>
      </c>
      <c r="AB218" s="15"/>
      <c r="AC218" s="15"/>
      <c r="AD218" s="15"/>
      <c r="AE218" s="15"/>
      <c r="AF218" s="15"/>
      <c r="AG218" s="15"/>
      <c r="AH218" s="27"/>
    </row>
    <row r="219" spans="1:34" x14ac:dyDescent="0.25">
      <c r="A219" s="57" t="s">
        <v>300</v>
      </c>
      <c r="B219" s="58" t="s">
        <v>301</v>
      </c>
      <c r="C219" s="2">
        <f>'WC def tax 22'!O220</f>
        <v>0</v>
      </c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2">
        <f t="shared" ref="P219:P234" si="88">SUM(C219:O219)</f>
        <v>0</v>
      </c>
      <c r="Q219" s="2">
        <f t="shared" ref="Q219:Q234" si="89">P219/13</f>
        <v>0</v>
      </c>
      <c r="R219" s="15">
        <f t="shared" ref="R219:R231" si="90">SUM(T219:Y219)+Q219</f>
        <v>0</v>
      </c>
      <c r="S219" s="15" t="s">
        <v>13</v>
      </c>
      <c r="T219" s="60">
        <f t="shared" ref="T219:Y226" si="91">-$Q219*T$3</f>
        <v>0</v>
      </c>
      <c r="U219" s="60">
        <f t="shared" si="91"/>
        <v>0</v>
      </c>
      <c r="V219" s="60">
        <f t="shared" si="91"/>
        <v>0</v>
      </c>
      <c r="W219" s="60">
        <f t="shared" si="91"/>
        <v>0</v>
      </c>
      <c r="X219" s="60">
        <f t="shared" si="91"/>
        <v>0</v>
      </c>
      <c r="Y219" s="60">
        <f t="shared" si="91"/>
        <v>0</v>
      </c>
      <c r="Z219" s="15"/>
      <c r="AA219" s="15" t="s">
        <v>13</v>
      </c>
      <c r="AB219" s="60">
        <f t="shared" ref="AB219:AG226" si="92">-$O219*AB$3</f>
        <v>0</v>
      </c>
      <c r="AC219" s="60">
        <v>23</v>
      </c>
      <c r="AD219" s="60">
        <f t="shared" si="92"/>
        <v>0</v>
      </c>
      <c r="AE219" s="60">
        <f t="shared" si="92"/>
        <v>0</v>
      </c>
      <c r="AF219" s="60">
        <f t="shared" si="92"/>
        <v>0</v>
      </c>
      <c r="AG219" s="60">
        <f t="shared" si="92"/>
        <v>0</v>
      </c>
      <c r="AH219" s="27">
        <f t="shared" ref="AH219:AH229" si="93">SUM(AB219:AG219)+O219</f>
        <v>23</v>
      </c>
    </row>
    <row r="220" spans="1:34" x14ac:dyDescent="0.25">
      <c r="A220" s="31" t="s">
        <v>302</v>
      </c>
      <c r="B220" s="31" t="s">
        <v>303</v>
      </c>
      <c r="C220" s="2">
        <f>'WC def tax 22'!O221</f>
        <v>-70615.789999999921</v>
      </c>
      <c r="D220" s="158">
        <v>-70615.789999999921</v>
      </c>
      <c r="E220" s="158">
        <v>-70615.789999999921</v>
      </c>
      <c r="F220" s="158">
        <v>-70615.789999999921</v>
      </c>
      <c r="G220" s="158">
        <v>-70615.789999999921</v>
      </c>
      <c r="H220" s="158">
        <v>-70615.789999999921</v>
      </c>
      <c r="I220" s="158">
        <v>-70615.789999999921</v>
      </c>
      <c r="J220" s="158">
        <v>-70615.789999999921</v>
      </c>
      <c r="K220" s="158">
        <v>-70615.789999999921</v>
      </c>
      <c r="L220" s="158">
        <v>-70615.789999999921</v>
      </c>
      <c r="M220" s="158">
        <v>-70615.789999999921</v>
      </c>
      <c r="N220" s="158">
        <v>-70615.789999999921</v>
      </c>
      <c r="O220" s="158">
        <v>-70615.789999999921</v>
      </c>
      <c r="P220" s="2">
        <f t="shared" si="88"/>
        <v>-918005.26999999897</v>
      </c>
      <c r="Q220" s="2">
        <f t="shared" si="89"/>
        <v>-70615.789999999921</v>
      </c>
      <c r="R220" s="15">
        <f t="shared" si="90"/>
        <v>1.4123158000002149</v>
      </c>
      <c r="S220" s="15" t="s">
        <v>13</v>
      </c>
      <c r="T220" s="60">
        <f t="shared" si="91"/>
        <v>11450.350348499986</v>
      </c>
      <c r="U220" s="60">
        <f t="shared" si="91"/>
        <v>27660.911100899968</v>
      </c>
      <c r="V220" s="60">
        <f t="shared" si="91"/>
        <v>12984.831465199984</v>
      </c>
      <c r="W220" s="60">
        <f t="shared" si="91"/>
        <v>250.68605449999973</v>
      </c>
      <c r="X220" s="60">
        <f t="shared" si="91"/>
        <v>78.383526899999922</v>
      </c>
      <c r="Y220" s="60">
        <f t="shared" si="91"/>
        <v>18192.039819799982</v>
      </c>
      <c r="Z220" s="15"/>
      <c r="AA220" s="15" t="s">
        <v>13</v>
      </c>
      <c r="AB220" s="60">
        <f t="shared" si="92"/>
        <v>11450.350348499986</v>
      </c>
      <c r="AC220" s="60">
        <f t="shared" si="92"/>
        <v>27660.911100899968</v>
      </c>
      <c r="AD220" s="60">
        <f t="shared" si="92"/>
        <v>12984.831465199984</v>
      </c>
      <c r="AE220" s="60">
        <f t="shared" si="92"/>
        <v>250.68605449999973</v>
      </c>
      <c r="AF220" s="60">
        <f t="shared" si="92"/>
        <v>78.383526899999922</v>
      </c>
      <c r="AG220" s="60">
        <f t="shared" si="92"/>
        <v>18192.039819799982</v>
      </c>
      <c r="AH220" s="27">
        <f t="shared" si="93"/>
        <v>1.4123158000002149</v>
      </c>
    </row>
    <row r="221" spans="1:34" x14ac:dyDescent="0.25">
      <c r="A221" s="31" t="s">
        <v>304</v>
      </c>
      <c r="B221" s="31" t="s">
        <v>305</v>
      </c>
      <c r="C221" s="2">
        <f>'WC def tax 22'!O222</f>
        <v>0</v>
      </c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2">
        <f t="shared" si="88"/>
        <v>0</v>
      </c>
      <c r="Q221" s="2">
        <f t="shared" si="89"/>
        <v>0</v>
      </c>
      <c r="R221" s="15">
        <f t="shared" si="90"/>
        <v>0</v>
      </c>
      <c r="S221" s="15" t="s">
        <v>13</v>
      </c>
      <c r="T221" s="60">
        <f t="shared" si="91"/>
        <v>0</v>
      </c>
      <c r="U221" s="60">
        <f t="shared" si="91"/>
        <v>0</v>
      </c>
      <c r="V221" s="60">
        <f t="shared" si="91"/>
        <v>0</v>
      </c>
      <c r="W221" s="60">
        <f t="shared" si="91"/>
        <v>0</v>
      </c>
      <c r="X221" s="60">
        <f t="shared" si="91"/>
        <v>0</v>
      </c>
      <c r="Y221" s="60">
        <f t="shared" si="91"/>
        <v>0</v>
      </c>
      <c r="Z221" s="15"/>
      <c r="AA221" s="15" t="s">
        <v>13</v>
      </c>
      <c r="AB221" s="60">
        <f t="shared" si="92"/>
        <v>0</v>
      </c>
      <c r="AC221" s="60">
        <f t="shared" si="92"/>
        <v>0</v>
      </c>
      <c r="AD221" s="60">
        <f t="shared" si="92"/>
        <v>0</v>
      </c>
      <c r="AE221" s="60">
        <f t="shared" si="92"/>
        <v>0</v>
      </c>
      <c r="AF221" s="60">
        <f t="shared" si="92"/>
        <v>0</v>
      </c>
      <c r="AG221" s="60">
        <f t="shared" si="92"/>
        <v>0</v>
      </c>
      <c r="AH221" s="27">
        <f t="shared" si="93"/>
        <v>0</v>
      </c>
    </row>
    <row r="222" spans="1:34" x14ac:dyDescent="0.25">
      <c r="A222" s="31" t="s">
        <v>306</v>
      </c>
      <c r="B222" s="31" t="s">
        <v>307</v>
      </c>
      <c r="C222" s="2">
        <f>'WC def tax 22'!O223</f>
        <v>0</v>
      </c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2">
        <f t="shared" si="88"/>
        <v>0</v>
      </c>
      <c r="Q222" s="2">
        <f t="shared" si="89"/>
        <v>0</v>
      </c>
      <c r="R222" s="15">
        <f t="shared" si="90"/>
        <v>0</v>
      </c>
      <c r="S222" s="15" t="s">
        <v>13</v>
      </c>
      <c r="T222" s="60">
        <f t="shared" si="91"/>
        <v>0</v>
      </c>
      <c r="U222" s="60">
        <f t="shared" si="91"/>
        <v>0</v>
      </c>
      <c r="V222" s="60">
        <f t="shared" si="91"/>
        <v>0</v>
      </c>
      <c r="W222" s="60">
        <f t="shared" si="91"/>
        <v>0</v>
      </c>
      <c r="X222" s="60">
        <f t="shared" si="91"/>
        <v>0</v>
      </c>
      <c r="Y222" s="60">
        <f t="shared" si="91"/>
        <v>0</v>
      </c>
      <c r="Z222" s="15"/>
      <c r="AA222" s="15" t="s">
        <v>13</v>
      </c>
      <c r="AB222" s="60">
        <f t="shared" si="92"/>
        <v>0</v>
      </c>
      <c r="AC222" s="60">
        <f t="shared" si="92"/>
        <v>0</v>
      </c>
      <c r="AD222" s="60">
        <f t="shared" si="92"/>
        <v>0</v>
      </c>
      <c r="AE222" s="60">
        <f t="shared" si="92"/>
        <v>0</v>
      </c>
      <c r="AF222" s="60">
        <f t="shared" si="92"/>
        <v>0</v>
      </c>
      <c r="AG222" s="60">
        <f t="shared" si="92"/>
        <v>0</v>
      </c>
      <c r="AH222" s="27">
        <f t="shared" si="93"/>
        <v>0</v>
      </c>
    </row>
    <row r="223" spans="1:34" x14ac:dyDescent="0.25">
      <c r="A223" s="31" t="s">
        <v>308</v>
      </c>
      <c r="B223" s="31" t="s">
        <v>309</v>
      </c>
      <c r="C223" s="2">
        <f>'WC def tax 22'!O224</f>
        <v>0</v>
      </c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2">
        <f t="shared" si="88"/>
        <v>0</v>
      </c>
      <c r="Q223" s="2">
        <f t="shared" si="89"/>
        <v>0</v>
      </c>
      <c r="R223" s="15">
        <f t="shared" si="90"/>
        <v>0</v>
      </c>
      <c r="S223" s="15" t="s">
        <v>13</v>
      </c>
      <c r="T223" s="60">
        <f t="shared" si="91"/>
        <v>0</v>
      </c>
      <c r="U223" s="60">
        <f t="shared" si="91"/>
        <v>0</v>
      </c>
      <c r="V223" s="60">
        <f t="shared" si="91"/>
        <v>0</v>
      </c>
      <c r="W223" s="60">
        <f t="shared" si="91"/>
        <v>0</v>
      </c>
      <c r="X223" s="60">
        <f t="shared" si="91"/>
        <v>0</v>
      </c>
      <c r="Y223" s="60">
        <f t="shared" si="91"/>
        <v>0</v>
      </c>
      <c r="Z223" s="15"/>
      <c r="AA223" s="15" t="s">
        <v>13</v>
      </c>
      <c r="AB223" s="60">
        <f t="shared" si="92"/>
        <v>0</v>
      </c>
      <c r="AC223" s="60">
        <f t="shared" si="92"/>
        <v>0</v>
      </c>
      <c r="AD223" s="60">
        <f t="shared" si="92"/>
        <v>0</v>
      </c>
      <c r="AE223" s="60">
        <f t="shared" si="92"/>
        <v>0</v>
      </c>
      <c r="AF223" s="60">
        <f t="shared" si="92"/>
        <v>0</v>
      </c>
      <c r="AG223" s="60">
        <f t="shared" si="92"/>
        <v>0</v>
      </c>
      <c r="AH223" s="27">
        <f t="shared" si="93"/>
        <v>0</v>
      </c>
    </row>
    <row r="224" spans="1:34" x14ac:dyDescent="0.25">
      <c r="A224" s="31" t="s">
        <v>310</v>
      </c>
      <c r="B224" s="31" t="s">
        <v>311</v>
      </c>
      <c r="C224" s="2">
        <f>'WC def tax 22'!O225</f>
        <v>0</v>
      </c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2">
        <f t="shared" si="88"/>
        <v>0</v>
      </c>
      <c r="Q224" s="2">
        <f t="shared" si="89"/>
        <v>0</v>
      </c>
      <c r="R224" s="15">
        <f t="shared" si="90"/>
        <v>0</v>
      </c>
      <c r="S224" s="15" t="s">
        <v>13</v>
      </c>
      <c r="T224" s="60">
        <f t="shared" si="91"/>
        <v>0</v>
      </c>
      <c r="U224" s="60">
        <f t="shared" si="91"/>
        <v>0</v>
      </c>
      <c r="V224" s="60">
        <f t="shared" si="91"/>
        <v>0</v>
      </c>
      <c r="W224" s="60">
        <f t="shared" si="91"/>
        <v>0</v>
      </c>
      <c r="X224" s="60">
        <f t="shared" si="91"/>
        <v>0</v>
      </c>
      <c r="Y224" s="60">
        <f t="shared" si="91"/>
        <v>0</v>
      </c>
      <c r="Z224" s="15"/>
      <c r="AA224" s="15" t="s">
        <v>13</v>
      </c>
      <c r="AB224" s="60">
        <f t="shared" si="92"/>
        <v>0</v>
      </c>
      <c r="AC224" s="60">
        <f t="shared" si="92"/>
        <v>0</v>
      </c>
      <c r="AD224" s="60">
        <f t="shared" si="92"/>
        <v>0</v>
      </c>
      <c r="AE224" s="60">
        <f t="shared" si="92"/>
        <v>0</v>
      </c>
      <c r="AF224" s="60">
        <f t="shared" si="92"/>
        <v>0</v>
      </c>
      <c r="AG224" s="60">
        <f t="shared" si="92"/>
        <v>0</v>
      </c>
      <c r="AH224" s="27">
        <f t="shared" si="93"/>
        <v>0</v>
      </c>
    </row>
    <row r="225" spans="1:34" x14ac:dyDescent="0.25">
      <c r="A225" s="31" t="s">
        <v>312</v>
      </c>
      <c r="B225" s="31" t="s">
        <v>313</v>
      </c>
      <c r="C225" s="2">
        <f>'WC def tax 22'!O226</f>
        <v>0</v>
      </c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2">
        <f t="shared" si="88"/>
        <v>0</v>
      </c>
      <c r="Q225" s="2">
        <f t="shared" si="89"/>
        <v>0</v>
      </c>
      <c r="R225" s="15">
        <f t="shared" si="90"/>
        <v>0</v>
      </c>
      <c r="S225" s="15" t="s">
        <v>13</v>
      </c>
      <c r="T225" s="60">
        <f>-$Q225*T$3</f>
        <v>0</v>
      </c>
      <c r="U225" s="60">
        <f t="shared" si="91"/>
        <v>0</v>
      </c>
      <c r="V225" s="60">
        <f t="shared" si="91"/>
        <v>0</v>
      </c>
      <c r="W225" s="60">
        <f t="shared" si="91"/>
        <v>0</v>
      </c>
      <c r="X225" s="60">
        <f t="shared" si="91"/>
        <v>0</v>
      </c>
      <c r="Y225" s="60">
        <f t="shared" si="91"/>
        <v>0</v>
      </c>
      <c r="Z225" s="15"/>
      <c r="AA225" s="15" t="s">
        <v>13</v>
      </c>
      <c r="AB225" s="60">
        <f>-$O225*AB$3</f>
        <v>0</v>
      </c>
      <c r="AC225" s="60">
        <f t="shared" si="92"/>
        <v>0</v>
      </c>
      <c r="AD225" s="60">
        <f t="shared" si="92"/>
        <v>0</v>
      </c>
      <c r="AE225" s="60">
        <f t="shared" si="92"/>
        <v>0</v>
      </c>
      <c r="AF225" s="60">
        <f t="shared" si="92"/>
        <v>0</v>
      </c>
      <c r="AG225" s="60">
        <f t="shared" si="92"/>
        <v>0</v>
      </c>
      <c r="AH225" s="27">
        <f t="shared" si="93"/>
        <v>0</v>
      </c>
    </row>
    <row r="226" spans="1:34" x14ac:dyDescent="0.25">
      <c r="A226" s="31" t="s">
        <v>314</v>
      </c>
      <c r="B226" s="31" t="s">
        <v>315</v>
      </c>
      <c r="C226" s="2">
        <f>'WC def tax 22'!O227</f>
        <v>0</v>
      </c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2">
        <f t="shared" si="88"/>
        <v>0</v>
      </c>
      <c r="Q226" s="2">
        <f t="shared" si="89"/>
        <v>0</v>
      </c>
      <c r="R226" s="15">
        <f t="shared" si="90"/>
        <v>0</v>
      </c>
      <c r="S226" s="15" t="s">
        <v>13</v>
      </c>
      <c r="T226" s="60">
        <f>-$Q226*T$3</f>
        <v>0</v>
      </c>
      <c r="U226" s="60">
        <f t="shared" si="91"/>
        <v>0</v>
      </c>
      <c r="V226" s="60">
        <f t="shared" si="91"/>
        <v>0</v>
      </c>
      <c r="W226" s="60">
        <f t="shared" si="91"/>
        <v>0</v>
      </c>
      <c r="X226" s="60">
        <f t="shared" si="91"/>
        <v>0</v>
      </c>
      <c r="Y226" s="60">
        <f t="shared" si="91"/>
        <v>0</v>
      </c>
      <c r="Z226" s="15"/>
      <c r="AA226" s="15" t="s">
        <v>13</v>
      </c>
      <c r="AB226" s="60">
        <f>-$O226*AB$3</f>
        <v>0</v>
      </c>
      <c r="AC226" s="60">
        <f t="shared" si="92"/>
        <v>0</v>
      </c>
      <c r="AD226" s="60">
        <f t="shared" si="92"/>
        <v>0</v>
      </c>
      <c r="AE226" s="60">
        <f t="shared" si="92"/>
        <v>0</v>
      </c>
      <c r="AF226" s="60">
        <f t="shared" si="92"/>
        <v>0</v>
      </c>
      <c r="AG226" s="60">
        <f t="shared" si="92"/>
        <v>0</v>
      </c>
      <c r="AH226" s="27">
        <f t="shared" si="93"/>
        <v>0</v>
      </c>
    </row>
    <row r="227" spans="1:34" x14ac:dyDescent="0.25">
      <c r="A227" s="31" t="s">
        <v>316</v>
      </c>
      <c r="B227" s="31" t="s">
        <v>317</v>
      </c>
      <c r="C227" s="2">
        <f>'WC def tax 22'!O228</f>
        <v>0</v>
      </c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2">
        <f t="shared" si="88"/>
        <v>0</v>
      </c>
      <c r="Q227" s="2">
        <f t="shared" si="89"/>
        <v>0</v>
      </c>
      <c r="R227" s="15">
        <f t="shared" si="90"/>
        <v>0</v>
      </c>
      <c r="S227" s="15" t="s">
        <v>13</v>
      </c>
      <c r="T227" s="60">
        <f t="shared" ref="T227:Y234" si="94">-$Q227*T$3</f>
        <v>0</v>
      </c>
      <c r="U227" s="60">
        <f t="shared" si="94"/>
        <v>0</v>
      </c>
      <c r="V227" s="60">
        <f t="shared" si="94"/>
        <v>0</v>
      </c>
      <c r="W227" s="60">
        <f t="shared" si="94"/>
        <v>0</v>
      </c>
      <c r="X227" s="60">
        <f t="shared" si="94"/>
        <v>0</v>
      </c>
      <c r="Y227" s="60">
        <f t="shared" si="94"/>
        <v>0</v>
      </c>
      <c r="Z227" s="15"/>
      <c r="AA227" s="15" t="s">
        <v>13</v>
      </c>
      <c r="AB227" s="60">
        <f t="shared" ref="AB227:AG234" si="95">-$O227*AB$3</f>
        <v>0</v>
      </c>
      <c r="AC227" s="60">
        <f t="shared" si="95"/>
        <v>0</v>
      </c>
      <c r="AD227" s="60">
        <f t="shared" si="95"/>
        <v>0</v>
      </c>
      <c r="AE227" s="60">
        <f t="shared" si="95"/>
        <v>0</v>
      </c>
      <c r="AF227" s="60">
        <f t="shared" si="95"/>
        <v>0</v>
      </c>
      <c r="AG227" s="60">
        <f t="shared" si="95"/>
        <v>0</v>
      </c>
      <c r="AH227" s="27">
        <f t="shared" si="93"/>
        <v>0</v>
      </c>
    </row>
    <row r="228" spans="1:34" x14ac:dyDescent="0.25">
      <c r="A228" s="31" t="s">
        <v>318</v>
      </c>
      <c r="B228" s="31" t="s">
        <v>319</v>
      </c>
      <c r="C228" s="2">
        <f>'WC def tax 22'!O229</f>
        <v>0</v>
      </c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2">
        <f t="shared" si="88"/>
        <v>0</v>
      </c>
      <c r="Q228" s="2">
        <f t="shared" si="89"/>
        <v>0</v>
      </c>
      <c r="R228" s="15">
        <f t="shared" si="90"/>
        <v>0</v>
      </c>
      <c r="S228" s="15" t="s">
        <v>13</v>
      </c>
      <c r="T228" s="60">
        <f t="shared" si="94"/>
        <v>0</v>
      </c>
      <c r="U228" s="60">
        <f t="shared" si="94"/>
        <v>0</v>
      </c>
      <c r="V228" s="60">
        <f t="shared" si="94"/>
        <v>0</v>
      </c>
      <c r="W228" s="60">
        <f t="shared" si="94"/>
        <v>0</v>
      </c>
      <c r="X228" s="60">
        <f t="shared" si="94"/>
        <v>0</v>
      </c>
      <c r="Y228" s="60">
        <f t="shared" si="94"/>
        <v>0</v>
      </c>
      <c r="Z228" s="15"/>
      <c r="AA228" s="15" t="s">
        <v>13</v>
      </c>
      <c r="AB228" s="60">
        <f t="shared" si="95"/>
        <v>0</v>
      </c>
      <c r="AC228" s="60">
        <f t="shared" si="95"/>
        <v>0</v>
      </c>
      <c r="AD228" s="60">
        <f t="shared" si="95"/>
        <v>0</v>
      </c>
      <c r="AE228" s="60">
        <f t="shared" si="95"/>
        <v>0</v>
      </c>
      <c r="AF228" s="60">
        <f t="shared" si="95"/>
        <v>0</v>
      </c>
      <c r="AG228" s="60">
        <f t="shared" si="95"/>
        <v>0</v>
      </c>
      <c r="AH228" s="27">
        <f t="shared" si="93"/>
        <v>0</v>
      </c>
    </row>
    <row r="229" spans="1:34" x14ac:dyDescent="0.25">
      <c r="A229" s="31" t="s">
        <v>320</v>
      </c>
      <c r="B229" s="31" t="s">
        <v>321</v>
      </c>
      <c r="C229" s="2">
        <f>'WC def tax 22'!O230</f>
        <v>0</v>
      </c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2">
        <f t="shared" si="88"/>
        <v>0</v>
      </c>
      <c r="Q229" s="2">
        <f t="shared" si="89"/>
        <v>0</v>
      </c>
      <c r="R229" s="15">
        <f t="shared" si="90"/>
        <v>0</v>
      </c>
      <c r="S229" s="15" t="s">
        <v>13</v>
      </c>
      <c r="T229" s="60">
        <f t="shared" si="94"/>
        <v>0</v>
      </c>
      <c r="U229" s="60">
        <f t="shared" si="94"/>
        <v>0</v>
      </c>
      <c r="V229" s="60">
        <f t="shared" si="94"/>
        <v>0</v>
      </c>
      <c r="W229" s="60">
        <f t="shared" si="94"/>
        <v>0</v>
      </c>
      <c r="X229" s="60">
        <f t="shared" si="94"/>
        <v>0</v>
      </c>
      <c r="Y229" s="60">
        <f t="shared" si="94"/>
        <v>0</v>
      </c>
      <c r="Z229" s="15"/>
      <c r="AA229" s="15" t="s">
        <v>13</v>
      </c>
      <c r="AB229" s="60">
        <f t="shared" si="95"/>
        <v>0</v>
      </c>
      <c r="AC229" s="60">
        <f t="shared" si="95"/>
        <v>0</v>
      </c>
      <c r="AD229" s="60">
        <f t="shared" si="95"/>
        <v>0</v>
      </c>
      <c r="AE229" s="60">
        <f t="shared" si="95"/>
        <v>0</v>
      </c>
      <c r="AF229" s="60">
        <f t="shared" si="95"/>
        <v>0</v>
      </c>
      <c r="AG229" s="60">
        <f t="shared" si="95"/>
        <v>0</v>
      </c>
      <c r="AH229" s="27">
        <f t="shared" si="93"/>
        <v>0</v>
      </c>
    </row>
    <row r="230" spans="1:34" x14ac:dyDescent="0.25">
      <c r="A230" s="31" t="s">
        <v>322</v>
      </c>
      <c r="B230" s="31" t="s">
        <v>323</v>
      </c>
      <c r="C230" s="2">
        <f>'WC def tax 22'!O231</f>
        <v>0</v>
      </c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2">
        <f t="shared" si="88"/>
        <v>0</v>
      </c>
      <c r="Q230" s="2">
        <f t="shared" si="89"/>
        <v>0</v>
      </c>
      <c r="R230" s="15">
        <f t="shared" si="90"/>
        <v>0</v>
      </c>
      <c r="S230" s="15" t="s">
        <v>13</v>
      </c>
      <c r="T230" s="60">
        <f t="shared" si="94"/>
        <v>0</v>
      </c>
      <c r="U230" s="60">
        <f t="shared" si="94"/>
        <v>0</v>
      </c>
      <c r="V230" s="60">
        <f t="shared" si="94"/>
        <v>0</v>
      </c>
      <c r="W230" s="60">
        <f t="shared" si="94"/>
        <v>0</v>
      </c>
      <c r="X230" s="60">
        <f t="shared" si="94"/>
        <v>0</v>
      </c>
      <c r="Y230" s="60">
        <f t="shared" si="94"/>
        <v>0</v>
      </c>
      <c r="Z230" s="15"/>
      <c r="AA230" s="15" t="s">
        <v>13</v>
      </c>
      <c r="AB230" s="60">
        <f t="shared" si="95"/>
        <v>0</v>
      </c>
      <c r="AC230" s="60">
        <f t="shared" si="95"/>
        <v>0</v>
      </c>
      <c r="AD230" s="60">
        <f t="shared" si="95"/>
        <v>0</v>
      </c>
      <c r="AE230" s="60">
        <f t="shared" si="95"/>
        <v>0</v>
      </c>
      <c r="AF230" s="60">
        <f t="shared" si="95"/>
        <v>0</v>
      </c>
      <c r="AG230" s="60">
        <f t="shared" si="95"/>
        <v>0</v>
      </c>
      <c r="AH230" s="27"/>
    </row>
    <row r="231" spans="1:34" x14ac:dyDescent="0.25">
      <c r="A231" s="31" t="s">
        <v>324</v>
      </c>
      <c r="B231" s="31" t="s">
        <v>325</v>
      </c>
      <c r="C231" s="2">
        <f>'WC def tax 22'!O232</f>
        <v>0</v>
      </c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2">
        <f t="shared" si="88"/>
        <v>0</v>
      </c>
      <c r="Q231" s="2">
        <f t="shared" si="89"/>
        <v>0</v>
      </c>
      <c r="R231" s="15">
        <f t="shared" si="90"/>
        <v>0</v>
      </c>
      <c r="S231" s="15" t="s">
        <v>13</v>
      </c>
      <c r="T231" s="60">
        <f t="shared" si="94"/>
        <v>0</v>
      </c>
      <c r="U231" s="60">
        <f t="shared" si="94"/>
        <v>0</v>
      </c>
      <c r="V231" s="60">
        <f t="shared" si="94"/>
        <v>0</v>
      </c>
      <c r="W231" s="60">
        <f t="shared" si="94"/>
        <v>0</v>
      </c>
      <c r="X231" s="60">
        <f t="shared" si="94"/>
        <v>0</v>
      </c>
      <c r="Y231" s="60">
        <f t="shared" si="94"/>
        <v>0</v>
      </c>
      <c r="Z231" s="15"/>
      <c r="AA231" s="15" t="s">
        <v>13</v>
      </c>
      <c r="AB231" s="60">
        <f t="shared" si="95"/>
        <v>0</v>
      </c>
      <c r="AC231" s="60">
        <f t="shared" si="95"/>
        <v>0</v>
      </c>
      <c r="AD231" s="60">
        <f t="shared" si="95"/>
        <v>0</v>
      </c>
      <c r="AE231" s="60">
        <f t="shared" si="95"/>
        <v>0</v>
      </c>
      <c r="AF231" s="60">
        <f t="shared" si="95"/>
        <v>0</v>
      </c>
      <c r="AG231" s="60">
        <f t="shared" si="95"/>
        <v>0</v>
      </c>
      <c r="AH231" s="27"/>
    </row>
    <row r="232" spans="1:34" x14ac:dyDescent="0.25">
      <c r="A232" s="31" t="s">
        <v>326</v>
      </c>
      <c r="B232" s="31" t="s">
        <v>327</v>
      </c>
      <c r="C232" s="2">
        <f>'WC def tax 22'!O233</f>
        <v>0</v>
      </c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2">
        <f t="shared" si="88"/>
        <v>0</v>
      </c>
      <c r="Q232" s="2">
        <f t="shared" si="89"/>
        <v>0</v>
      </c>
      <c r="R232" s="15"/>
      <c r="S232" s="15" t="s">
        <v>13</v>
      </c>
      <c r="T232" s="60">
        <f t="shared" si="94"/>
        <v>0</v>
      </c>
      <c r="U232" s="60">
        <f t="shared" si="94"/>
        <v>0</v>
      </c>
      <c r="V232" s="60">
        <f t="shared" si="94"/>
        <v>0</v>
      </c>
      <c r="W232" s="60">
        <f t="shared" si="94"/>
        <v>0</v>
      </c>
      <c r="X232" s="60">
        <f t="shared" si="94"/>
        <v>0</v>
      </c>
      <c r="Y232" s="60">
        <f t="shared" si="94"/>
        <v>0</v>
      </c>
      <c r="Z232" s="15"/>
      <c r="AA232" s="15" t="s">
        <v>13</v>
      </c>
      <c r="AB232" s="60">
        <f t="shared" si="95"/>
        <v>0</v>
      </c>
      <c r="AC232" s="60">
        <f t="shared" si="95"/>
        <v>0</v>
      </c>
      <c r="AD232" s="60">
        <f t="shared" si="95"/>
        <v>0</v>
      </c>
      <c r="AE232" s="60">
        <f t="shared" si="95"/>
        <v>0</v>
      </c>
      <c r="AF232" s="60">
        <f t="shared" si="95"/>
        <v>0</v>
      </c>
      <c r="AG232" s="60">
        <f t="shared" si="95"/>
        <v>0</v>
      </c>
      <c r="AH232" s="27"/>
    </row>
    <row r="233" spans="1:34" x14ac:dyDescent="0.25">
      <c r="A233" s="31" t="s">
        <v>328</v>
      </c>
      <c r="B233" s="31" t="s">
        <v>329</v>
      </c>
      <c r="C233" s="2">
        <f>'WC def tax 22'!O234</f>
        <v>0</v>
      </c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2">
        <f t="shared" si="88"/>
        <v>0</v>
      </c>
      <c r="Q233" s="2">
        <f t="shared" si="89"/>
        <v>0</v>
      </c>
      <c r="R233" s="15"/>
      <c r="S233" s="15" t="s">
        <v>13</v>
      </c>
      <c r="T233" s="60">
        <f t="shared" si="94"/>
        <v>0</v>
      </c>
      <c r="U233" s="60">
        <f t="shared" si="94"/>
        <v>0</v>
      </c>
      <c r="V233" s="60">
        <f t="shared" si="94"/>
        <v>0</v>
      </c>
      <c r="W233" s="60">
        <f t="shared" si="94"/>
        <v>0</v>
      </c>
      <c r="X233" s="60">
        <f t="shared" si="94"/>
        <v>0</v>
      </c>
      <c r="Y233" s="60">
        <f t="shared" si="94"/>
        <v>0</v>
      </c>
      <c r="Z233" s="15"/>
      <c r="AA233" s="15" t="s">
        <v>13</v>
      </c>
      <c r="AB233" s="60">
        <f t="shared" si="95"/>
        <v>0</v>
      </c>
      <c r="AC233" s="60">
        <f t="shared" si="95"/>
        <v>0</v>
      </c>
      <c r="AD233" s="60">
        <f t="shared" si="95"/>
        <v>0</v>
      </c>
      <c r="AE233" s="60">
        <f t="shared" si="95"/>
        <v>0</v>
      </c>
      <c r="AF233" s="60">
        <f t="shared" si="95"/>
        <v>0</v>
      </c>
      <c r="AG233" s="60">
        <f t="shared" si="95"/>
        <v>0</v>
      </c>
      <c r="AH233" s="27"/>
    </row>
    <row r="234" spans="1:34" x14ac:dyDescent="0.25">
      <c r="A234" s="31" t="s">
        <v>330</v>
      </c>
      <c r="B234" s="31" t="s">
        <v>331</v>
      </c>
      <c r="C234" s="2">
        <f>'WC def tax 22'!O235</f>
        <v>0</v>
      </c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2">
        <f t="shared" si="88"/>
        <v>0</v>
      </c>
      <c r="Q234" s="2">
        <f t="shared" si="89"/>
        <v>0</v>
      </c>
      <c r="R234" s="15"/>
      <c r="S234" s="15" t="s">
        <v>13</v>
      </c>
      <c r="T234" s="60">
        <f t="shared" si="94"/>
        <v>0</v>
      </c>
      <c r="U234" s="60">
        <f t="shared" si="94"/>
        <v>0</v>
      </c>
      <c r="V234" s="60">
        <f t="shared" si="94"/>
        <v>0</v>
      </c>
      <c r="W234" s="60">
        <f t="shared" si="94"/>
        <v>0</v>
      </c>
      <c r="X234" s="60">
        <f t="shared" si="94"/>
        <v>0</v>
      </c>
      <c r="Y234" s="60">
        <f t="shared" si="94"/>
        <v>0</v>
      </c>
      <c r="Z234" s="15"/>
      <c r="AA234" s="15" t="s">
        <v>13</v>
      </c>
      <c r="AB234" s="60">
        <f t="shared" si="95"/>
        <v>0</v>
      </c>
      <c r="AC234" s="60">
        <f t="shared" si="95"/>
        <v>0</v>
      </c>
      <c r="AD234" s="60">
        <f t="shared" si="95"/>
        <v>0</v>
      </c>
      <c r="AE234" s="60">
        <f t="shared" si="95"/>
        <v>0</v>
      </c>
      <c r="AF234" s="60">
        <f t="shared" si="95"/>
        <v>0</v>
      </c>
      <c r="AG234" s="60">
        <f t="shared" si="95"/>
        <v>0</v>
      </c>
      <c r="AH234" s="27"/>
    </row>
    <row r="235" spans="1:34" x14ac:dyDescent="0.25">
      <c r="A235" s="35"/>
      <c r="B235" s="35"/>
      <c r="C235" s="36" t="s">
        <v>67</v>
      </c>
      <c r="D235" s="36" t="s">
        <v>67</v>
      </c>
      <c r="E235" s="36" t="s">
        <v>67</v>
      </c>
      <c r="F235" s="36" t="s">
        <v>67</v>
      </c>
      <c r="G235" s="36" t="s">
        <v>67</v>
      </c>
      <c r="H235" s="36" t="s">
        <v>67</v>
      </c>
      <c r="I235" s="36" t="s">
        <v>67</v>
      </c>
      <c r="J235" s="36" t="s">
        <v>67</v>
      </c>
      <c r="K235" s="36" t="s">
        <v>67</v>
      </c>
      <c r="L235" s="36" t="s">
        <v>67</v>
      </c>
      <c r="M235" s="36" t="s">
        <v>67</v>
      </c>
      <c r="N235" s="36" t="s">
        <v>67</v>
      </c>
      <c r="O235" s="36" t="s">
        <v>67</v>
      </c>
      <c r="P235" s="36" t="s">
        <v>67</v>
      </c>
      <c r="Q235" s="36" t="s">
        <v>67</v>
      </c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27"/>
    </row>
    <row r="236" spans="1:34" x14ac:dyDescent="0.25">
      <c r="A236" s="37" t="s">
        <v>332</v>
      </c>
      <c r="B236" s="38"/>
      <c r="C236" s="39">
        <f>SUM(C219:C234)</f>
        <v>-70615.789999999921</v>
      </c>
      <c r="D236" s="39">
        <f t="shared" ref="D236:Q236" si="96">SUM(D219:D234)</f>
        <v>-70615.789999999921</v>
      </c>
      <c r="E236" s="39">
        <f t="shared" si="96"/>
        <v>-70615.789999999921</v>
      </c>
      <c r="F236" s="39">
        <f t="shared" si="96"/>
        <v>-70615.789999999921</v>
      </c>
      <c r="G236" s="39">
        <f t="shared" si="96"/>
        <v>-70615.789999999921</v>
      </c>
      <c r="H236" s="39">
        <f t="shared" si="96"/>
        <v>-70615.789999999921</v>
      </c>
      <c r="I236" s="39">
        <f t="shared" si="96"/>
        <v>-70615.789999999921</v>
      </c>
      <c r="J236" s="39">
        <f t="shared" si="96"/>
        <v>-70615.789999999921</v>
      </c>
      <c r="K236" s="39">
        <f t="shared" si="96"/>
        <v>-70615.789999999921</v>
      </c>
      <c r="L236" s="39">
        <f t="shared" si="96"/>
        <v>-70615.789999999921</v>
      </c>
      <c r="M236" s="39">
        <f t="shared" si="96"/>
        <v>-70615.789999999921</v>
      </c>
      <c r="N236" s="39">
        <f t="shared" si="96"/>
        <v>-70615.789999999921</v>
      </c>
      <c r="O236" s="39">
        <f t="shared" si="96"/>
        <v>-70615.789999999921</v>
      </c>
      <c r="P236" s="39">
        <f t="shared" si="96"/>
        <v>-918005.26999999897</v>
      </c>
      <c r="Q236" s="39">
        <f t="shared" si="96"/>
        <v>-70615.789999999921</v>
      </c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27"/>
    </row>
    <row r="237" spans="1:34" x14ac:dyDescent="0.25">
      <c r="A237" s="35"/>
      <c r="B237" s="35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27">
        <f>SUM(AB237:AG237)+O237</f>
        <v>0</v>
      </c>
    </row>
    <row r="238" spans="1:34" x14ac:dyDescent="0.25">
      <c r="A238" s="37" t="s">
        <v>333</v>
      </c>
      <c r="B238" s="38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27">
        <f>SUM(AB238:AG238)+O238</f>
        <v>0</v>
      </c>
    </row>
    <row r="239" spans="1:34" x14ac:dyDescent="0.25">
      <c r="A239" s="31" t="s">
        <v>334</v>
      </c>
      <c r="B239" s="31" t="s">
        <v>335</v>
      </c>
      <c r="C239" s="2">
        <f>'WC def tax 22'!O240</f>
        <v>-240638</v>
      </c>
      <c r="D239" s="64">
        <f>C239+4011</f>
        <v>-236627</v>
      </c>
      <c r="E239" s="64">
        <f t="shared" ref="E239:O239" si="97">D239+4011</f>
        <v>-232616</v>
      </c>
      <c r="F239" s="64">
        <f t="shared" si="97"/>
        <v>-228605</v>
      </c>
      <c r="G239" s="64">
        <f t="shared" si="97"/>
        <v>-224594</v>
      </c>
      <c r="H239" s="64">
        <f t="shared" si="97"/>
        <v>-220583</v>
      </c>
      <c r="I239" s="64">
        <f t="shared" si="97"/>
        <v>-216572</v>
      </c>
      <c r="J239" s="64">
        <f t="shared" si="97"/>
        <v>-212561</v>
      </c>
      <c r="K239" s="64">
        <f t="shared" si="97"/>
        <v>-208550</v>
      </c>
      <c r="L239" s="64">
        <f t="shared" si="97"/>
        <v>-204539</v>
      </c>
      <c r="M239" s="64">
        <f t="shared" si="97"/>
        <v>-200528</v>
      </c>
      <c r="N239" s="64">
        <f t="shared" si="97"/>
        <v>-196517</v>
      </c>
      <c r="O239" s="64">
        <f t="shared" si="97"/>
        <v>-192506</v>
      </c>
      <c r="P239" s="2">
        <f t="shared" ref="P239:P240" si="98">SUM(C239:O239)</f>
        <v>-2815436</v>
      </c>
      <c r="Q239" s="2">
        <f t="shared" ref="Q239:Q240" si="99">P239/13</f>
        <v>-216572</v>
      </c>
      <c r="R239" s="15">
        <f>SUM(T239:Y239)+Q239</f>
        <v>4.3314399999799207</v>
      </c>
      <c r="S239" s="15" t="s">
        <v>13</v>
      </c>
      <c r="T239" s="60">
        <f t="shared" ref="T239:Y240" si="100">-$Q239*T$3</f>
        <v>35117.149799999999</v>
      </c>
      <c r="U239" s="60">
        <f t="shared" si="100"/>
        <v>84833.418120000002</v>
      </c>
      <c r="V239" s="60">
        <f t="shared" si="100"/>
        <v>39823.259359999996</v>
      </c>
      <c r="W239" s="60">
        <f t="shared" si="100"/>
        <v>768.8306</v>
      </c>
      <c r="X239" s="60">
        <f t="shared" si="100"/>
        <v>240.39492000000001</v>
      </c>
      <c r="Y239" s="60">
        <f t="shared" si="100"/>
        <v>55793.278640000004</v>
      </c>
      <c r="Z239" s="15"/>
      <c r="AA239" s="15" t="s">
        <v>13</v>
      </c>
      <c r="AB239" s="60">
        <f t="shared" ref="AB239:AG240" si="101">-$O239*AB$3</f>
        <v>31214.847899999997</v>
      </c>
      <c r="AC239" s="60">
        <f t="shared" si="101"/>
        <v>75406.525259999995</v>
      </c>
      <c r="AD239" s="60">
        <f t="shared" si="101"/>
        <v>35398.003279999997</v>
      </c>
      <c r="AE239" s="60">
        <f t="shared" si="101"/>
        <v>683.3963</v>
      </c>
      <c r="AF239" s="60">
        <f t="shared" si="101"/>
        <v>213.68166000000002</v>
      </c>
      <c r="AG239" s="60">
        <f t="shared" si="101"/>
        <v>49593.39572</v>
      </c>
      <c r="AH239" s="27"/>
    </row>
    <row r="240" spans="1:34" x14ac:dyDescent="0.25">
      <c r="A240" s="31" t="s">
        <v>336</v>
      </c>
      <c r="B240" s="31" t="s">
        <v>337</v>
      </c>
      <c r="C240" s="2">
        <f>'WC def tax 22'!O241</f>
        <v>268993</v>
      </c>
      <c r="D240" s="64">
        <f>C240-1366</f>
        <v>267627</v>
      </c>
      <c r="E240" s="64">
        <f t="shared" ref="E240:O240" si="102">D240-1366</f>
        <v>266261</v>
      </c>
      <c r="F240" s="64">
        <f t="shared" si="102"/>
        <v>264895</v>
      </c>
      <c r="G240" s="64">
        <f t="shared" si="102"/>
        <v>263529</v>
      </c>
      <c r="H240" s="64">
        <f t="shared" si="102"/>
        <v>262163</v>
      </c>
      <c r="I240" s="64">
        <f t="shared" si="102"/>
        <v>260797</v>
      </c>
      <c r="J240" s="64">
        <f t="shared" si="102"/>
        <v>259431</v>
      </c>
      <c r="K240" s="64">
        <f t="shared" si="102"/>
        <v>258065</v>
      </c>
      <c r="L240" s="64">
        <f t="shared" si="102"/>
        <v>256699</v>
      </c>
      <c r="M240" s="64">
        <f t="shared" si="102"/>
        <v>255333</v>
      </c>
      <c r="N240" s="64">
        <f t="shared" si="102"/>
        <v>253967</v>
      </c>
      <c r="O240" s="64">
        <f t="shared" si="102"/>
        <v>252601</v>
      </c>
      <c r="P240" s="2">
        <f t="shared" si="98"/>
        <v>3390361</v>
      </c>
      <c r="Q240" s="2">
        <f t="shared" si="99"/>
        <v>260797</v>
      </c>
      <c r="R240" s="15">
        <f>SUM(T240:Y240)+Q240</f>
        <v>-5.2159400000236928</v>
      </c>
      <c r="S240" s="15" t="s">
        <v>13</v>
      </c>
      <c r="T240" s="60">
        <f t="shared" si="100"/>
        <v>-42288.233549999997</v>
      </c>
      <c r="U240" s="60">
        <f t="shared" si="100"/>
        <v>-102156.79287</v>
      </c>
      <c r="V240" s="60">
        <f t="shared" si="100"/>
        <v>-47955.352359999997</v>
      </c>
      <c r="W240" s="60">
        <f t="shared" si="100"/>
        <v>-925.82935000000009</v>
      </c>
      <c r="X240" s="60">
        <f t="shared" si="100"/>
        <v>-289.48467000000005</v>
      </c>
      <c r="Y240" s="60">
        <f t="shared" si="100"/>
        <v>-67186.523140000005</v>
      </c>
      <c r="Z240" s="15"/>
      <c r="AA240" s="15" t="s">
        <v>13</v>
      </c>
      <c r="AB240" s="60">
        <f t="shared" si="101"/>
        <v>-40959.25215</v>
      </c>
      <c r="AC240" s="60">
        <f t="shared" si="101"/>
        <v>-98946.337710000007</v>
      </c>
      <c r="AD240" s="60">
        <f t="shared" si="101"/>
        <v>-46448.27188</v>
      </c>
      <c r="AE240" s="60">
        <f t="shared" si="101"/>
        <v>-896.73355000000004</v>
      </c>
      <c r="AF240" s="60">
        <f t="shared" si="101"/>
        <v>-280.38711000000001</v>
      </c>
      <c r="AG240" s="60">
        <f t="shared" si="101"/>
        <v>-65075.069620000002</v>
      </c>
      <c r="AH240" s="27"/>
    </row>
    <row r="241" spans="1:34" x14ac:dyDescent="0.25">
      <c r="A241" s="35"/>
      <c r="B241" s="35"/>
      <c r="C241" s="36" t="s">
        <v>67</v>
      </c>
      <c r="D241" s="36" t="s">
        <v>67</v>
      </c>
      <c r="E241" s="36" t="s">
        <v>67</v>
      </c>
      <c r="F241" s="36" t="s">
        <v>67</v>
      </c>
      <c r="G241" s="36" t="s">
        <v>67</v>
      </c>
      <c r="H241" s="36" t="s">
        <v>67</v>
      </c>
      <c r="I241" s="36" t="s">
        <v>67</v>
      </c>
      <c r="J241" s="36" t="s">
        <v>67</v>
      </c>
      <c r="K241" s="36" t="s">
        <v>67</v>
      </c>
      <c r="L241" s="36" t="s">
        <v>67</v>
      </c>
      <c r="M241" s="36" t="s">
        <v>67</v>
      </c>
      <c r="N241" s="36" t="s">
        <v>67</v>
      </c>
      <c r="O241" s="36" t="s">
        <v>67</v>
      </c>
      <c r="P241" s="36" t="s">
        <v>67</v>
      </c>
      <c r="Q241" s="36" t="s">
        <v>67</v>
      </c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27"/>
    </row>
    <row r="242" spans="1:34" x14ac:dyDescent="0.25">
      <c r="A242" s="37" t="s">
        <v>338</v>
      </c>
      <c r="B242" s="38"/>
      <c r="C242" s="39">
        <f>SUM(C239:C240)</f>
        <v>28355</v>
      </c>
      <c r="D242" s="39">
        <f t="shared" ref="D242:Q242" si="103">SUM(D239:D240)</f>
        <v>31000</v>
      </c>
      <c r="E242" s="39">
        <f t="shared" si="103"/>
        <v>33645</v>
      </c>
      <c r="F242" s="39">
        <f t="shared" si="103"/>
        <v>36290</v>
      </c>
      <c r="G242" s="39">
        <f t="shared" si="103"/>
        <v>38935</v>
      </c>
      <c r="H242" s="39">
        <f t="shared" si="103"/>
        <v>41580</v>
      </c>
      <c r="I242" s="39">
        <f t="shared" si="103"/>
        <v>44225</v>
      </c>
      <c r="J242" s="39">
        <f t="shared" si="103"/>
        <v>46870</v>
      </c>
      <c r="K242" s="39">
        <f t="shared" si="103"/>
        <v>49515</v>
      </c>
      <c r="L242" s="39">
        <f t="shared" si="103"/>
        <v>52160</v>
      </c>
      <c r="M242" s="39">
        <f t="shared" si="103"/>
        <v>54805</v>
      </c>
      <c r="N242" s="39">
        <f t="shared" si="103"/>
        <v>57450</v>
      </c>
      <c r="O242" s="39">
        <f t="shared" si="103"/>
        <v>60095</v>
      </c>
      <c r="P242" s="39">
        <f t="shared" si="103"/>
        <v>574925</v>
      </c>
      <c r="Q242" s="39">
        <f t="shared" si="103"/>
        <v>44225</v>
      </c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27"/>
    </row>
    <row r="243" spans="1:34" x14ac:dyDescent="0.25">
      <c r="A243" s="35"/>
      <c r="B243" s="35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27">
        <f t="shared" ref="AH243:AH248" si="104">SUM(AB243:AG243)+O243</f>
        <v>0</v>
      </c>
    </row>
    <row r="244" spans="1:34" x14ac:dyDescent="0.25">
      <c r="A244" s="21" t="s">
        <v>339</v>
      </c>
      <c r="B244" s="22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27">
        <f t="shared" si="104"/>
        <v>0</v>
      </c>
    </row>
    <row r="245" spans="1:34" x14ac:dyDescent="0.25">
      <c r="A245" s="13" t="s">
        <v>340</v>
      </c>
      <c r="B245" s="13" t="s">
        <v>341</v>
      </c>
      <c r="C245" s="2">
        <f>'WC def tax 22'!O246</f>
        <v>-14121815.819999998</v>
      </c>
      <c r="D245" s="153">
        <v>-14121815.819999998</v>
      </c>
      <c r="E245" s="153">
        <v>-14121815.819999998</v>
      </c>
      <c r="F245" s="153">
        <v>-14121815.819999998</v>
      </c>
      <c r="G245" s="153">
        <v>-14121815.819999998</v>
      </c>
      <c r="H245" s="153">
        <v>-14121815.819999998</v>
      </c>
      <c r="I245" s="153">
        <v>-14121815.819999998</v>
      </c>
      <c r="J245" s="153">
        <v>-14121815.819999998</v>
      </c>
      <c r="K245" s="153">
        <v>-14121815.819999998</v>
      </c>
      <c r="L245" s="153">
        <v>-14121815.819999998</v>
      </c>
      <c r="M245" s="153">
        <v>-14121815.819999998</v>
      </c>
      <c r="N245" s="153">
        <v>-14121815.819999998</v>
      </c>
      <c r="O245" s="153">
        <v>-14121815.819999998</v>
      </c>
      <c r="P245" s="2">
        <f t="shared" ref="P245:P250" si="105">SUM(C245:O245)</f>
        <v>-183583605.65999994</v>
      </c>
      <c r="Q245" s="2">
        <f t="shared" ref="Q245:Q250" si="106">P245/13</f>
        <v>-14121815.819999995</v>
      </c>
      <c r="R245" s="15">
        <f t="shared" ref="R245:R250" si="107">SUM(T245:Y245)+Q245</f>
        <v>0</v>
      </c>
      <c r="S245" s="15" t="s">
        <v>29</v>
      </c>
      <c r="T245" s="15">
        <f t="shared" ref="T245:Y250" si="108">-$Q245*T$6</f>
        <v>3558697.5866399985</v>
      </c>
      <c r="U245" s="15">
        <f t="shared" si="108"/>
        <v>7343344.2263999972</v>
      </c>
      <c r="V245" s="15">
        <f t="shared" si="108"/>
        <v>0</v>
      </c>
      <c r="W245" s="15">
        <f t="shared" si="108"/>
        <v>0</v>
      </c>
      <c r="X245" s="15">
        <f t="shared" si="108"/>
        <v>0</v>
      </c>
      <c r="Y245" s="15">
        <f t="shared" si="108"/>
        <v>3219774.006959999</v>
      </c>
      <c r="Z245" s="15"/>
      <c r="AA245" s="15" t="s">
        <v>29</v>
      </c>
      <c r="AB245" s="15">
        <f t="shared" ref="AB245:AG250" si="109">-$O245*AB$6</f>
        <v>3558697.5866399994</v>
      </c>
      <c r="AC245" s="15">
        <f t="shared" si="109"/>
        <v>7343344.2263999991</v>
      </c>
      <c r="AD245" s="15">
        <f t="shared" si="109"/>
        <v>0</v>
      </c>
      <c r="AE245" s="15">
        <f t="shared" si="109"/>
        <v>0</v>
      </c>
      <c r="AF245" s="15">
        <f t="shared" si="109"/>
        <v>0</v>
      </c>
      <c r="AG245" s="15">
        <f t="shared" si="109"/>
        <v>3219774.0069599999</v>
      </c>
      <c r="AH245" s="27">
        <f t="shared" si="104"/>
        <v>0</v>
      </c>
    </row>
    <row r="246" spans="1:34" x14ac:dyDescent="0.25">
      <c r="A246" s="13" t="s">
        <v>342</v>
      </c>
      <c r="B246" s="13" t="s">
        <v>343</v>
      </c>
      <c r="C246" s="2">
        <f>'WC def tax 22'!O247</f>
        <v>0</v>
      </c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2">
        <f t="shared" si="105"/>
        <v>0</v>
      </c>
      <c r="Q246" s="2">
        <f t="shared" si="106"/>
        <v>0</v>
      </c>
      <c r="R246" s="15">
        <f t="shared" si="107"/>
        <v>0</v>
      </c>
      <c r="S246" s="15" t="s">
        <v>29</v>
      </c>
      <c r="T246" s="15">
        <f t="shared" si="108"/>
        <v>0</v>
      </c>
      <c r="U246" s="15">
        <f t="shared" si="108"/>
        <v>0</v>
      </c>
      <c r="V246" s="15">
        <f t="shared" si="108"/>
        <v>0</v>
      </c>
      <c r="W246" s="15">
        <f t="shared" si="108"/>
        <v>0</v>
      </c>
      <c r="X246" s="15">
        <f t="shared" si="108"/>
        <v>0</v>
      </c>
      <c r="Y246" s="15">
        <f t="shared" si="108"/>
        <v>0</v>
      </c>
      <c r="Z246" s="15"/>
      <c r="AA246" s="15" t="s">
        <v>29</v>
      </c>
      <c r="AB246" s="15">
        <f t="shared" si="109"/>
        <v>0</v>
      </c>
      <c r="AC246" s="15">
        <f t="shared" si="109"/>
        <v>0</v>
      </c>
      <c r="AD246" s="15">
        <f t="shared" si="109"/>
        <v>0</v>
      </c>
      <c r="AE246" s="15">
        <f t="shared" si="109"/>
        <v>0</v>
      </c>
      <c r="AF246" s="15">
        <f t="shared" si="109"/>
        <v>0</v>
      </c>
      <c r="AG246" s="15">
        <f t="shared" si="109"/>
        <v>0</v>
      </c>
      <c r="AH246" s="27">
        <f t="shared" si="104"/>
        <v>0</v>
      </c>
    </row>
    <row r="247" spans="1:34" x14ac:dyDescent="0.25">
      <c r="A247" s="13" t="s">
        <v>344</v>
      </c>
      <c r="B247" s="13" t="s">
        <v>345</v>
      </c>
      <c r="C247" s="2">
        <f>'WC def tax 22'!O248</f>
        <v>0</v>
      </c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2">
        <f t="shared" si="105"/>
        <v>0</v>
      </c>
      <c r="Q247" s="2">
        <f t="shared" si="106"/>
        <v>0</v>
      </c>
      <c r="R247" s="15">
        <f t="shared" si="107"/>
        <v>0</v>
      </c>
      <c r="S247" s="15" t="s">
        <v>29</v>
      </c>
      <c r="T247" s="15">
        <f t="shared" si="108"/>
        <v>0</v>
      </c>
      <c r="U247" s="15">
        <f t="shared" si="108"/>
        <v>0</v>
      </c>
      <c r="V247" s="15">
        <f t="shared" si="108"/>
        <v>0</v>
      </c>
      <c r="W247" s="15">
        <f t="shared" si="108"/>
        <v>0</v>
      </c>
      <c r="X247" s="15">
        <f t="shared" si="108"/>
        <v>0</v>
      </c>
      <c r="Y247" s="15">
        <f t="shared" si="108"/>
        <v>0</v>
      </c>
      <c r="Z247" s="15"/>
      <c r="AA247" s="15" t="s">
        <v>29</v>
      </c>
      <c r="AB247" s="15">
        <f t="shared" si="109"/>
        <v>0</v>
      </c>
      <c r="AC247" s="15">
        <f t="shared" si="109"/>
        <v>0</v>
      </c>
      <c r="AD247" s="15">
        <f t="shared" si="109"/>
        <v>0</v>
      </c>
      <c r="AE247" s="15">
        <f t="shared" si="109"/>
        <v>0</v>
      </c>
      <c r="AF247" s="15">
        <f t="shared" si="109"/>
        <v>0</v>
      </c>
      <c r="AG247" s="15">
        <f t="shared" si="109"/>
        <v>0</v>
      </c>
      <c r="AH247" s="27">
        <f t="shared" si="104"/>
        <v>0</v>
      </c>
    </row>
    <row r="248" spans="1:34" x14ac:dyDescent="0.25">
      <c r="A248" s="13" t="s">
        <v>346</v>
      </c>
      <c r="B248" s="13" t="s">
        <v>347</v>
      </c>
      <c r="C248" s="2">
        <f>'WC def tax 22'!O249</f>
        <v>0</v>
      </c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2">
        <f t="shared" si="105"/>
        <v>0</v>
      </c>
      <c r="Q248" s="2">
        <f t="shared" si="106"/>
        <v>0</v>
      </c>
      <c r="R248" s="15">
        <f t="shared" si="107"/>
        <v>0</v>
      </c>
      <c r="S248" s="15" t="s">
        <v>29</v>
      </c>
      <c r="T248" s="15">
        <f t="shared" si="108"/>
        <v>0</v>
      </c>
      <c r="U248" s="15">
        <f t="shared" si="108"/>
        <v>0</v>
      </c>
      <c r="V248" s="15">
        <f t="shared" si="108"/>
        <v>0</v>
      </c>
      <c r="W248" s="15">
        <f t="shared" si="108"/>
        <v>0</v>
      </c>
      <c r="X248" s="15">
        <f t="shared" si="108"/>
        <v>0</v>
      </c>
      <c r="Y248" s="15">
        <f t="shared" si="108"/>
        <v>0</v>
      </c>
      <c r="Z248" s="15"/>
      <c r="AA248" s="15" t="s">
        <v>29</v>
      </c>
      <c r="AB248" s="15">
        <f t="shared" si="109"/>
        <v>0</v>
      </c>
      <c r="AC248" s="15">
        <f t="shared" si="109"/>
        <v>0</v>
      </c>
      <c r="AD248" s="15">
        <f t="shared" si="109"/>
        <v>0</v>
      </c>
      <c r="AE248" s="15">
        <f t="shared" si="109"/>
        <v>0</v>
      </c>
      <c r="AF248" s="15">
        <f t="shared" si="109"/>
        <v>0</v>
      </c>
      <c r="AG248" s="15">
        <f t="shared" si="109"/>
        <v>0</v>
      </c>
      <c r="AH248" s="27">
        <f t="shared" si="104"/>
        <v>0</v>
      </c>
    </row>
    <row r="249" spans="1:34" x14ac:dyDescent="0.25">
      <c r="A249" s="13" t="s">
        <v>348</v>
      </c>
      <c r="B249" s="13" t="s">
        <v>349</v>
      </c>
      <c r="C249" s="2">
        <f>'WC def tax 22'!O250</f>
        <v>0</v>
      </c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2">
        <f t="shared" si="105"/>
        <v>0</v>
      </c>
      <c r="Q249" s="2">
        <f t="shared" si="106"/>
        <v>0</v>
      </c>
      <c r="R249" s="15">
        <f t="shared" si="107"/>
        <v>0</v>
      </c>
      <c r="S249" s="15" t="s">
        <v>29</v>
      </c>
      <c r="T249" s="15">
        <f t="shared" si="108"/>
        <v>0</v>
      </c>
      <c r="U249" s="15">
        <f t="shared" si="108"/>
        <v>0</v>
      </c>
      <c r="V249" s="15">
        <f t="shared" si="108"/>
        <v>0</v>
      </c>
      <c r="W249" s="15">
        <f t="shared" si="108"/>
        <v>0</v>
      </c>
      <c r="X249" s="15">
        <f t="shared" si="108"/>
        <v>0</v>
      </c>
      <c r="Y249" s="15">
        <f t="shared" si="108"/>
        <v>0</v>
      </c>
      <c r="Z249" s="15"/>
      <c r="AA249" s="15" t="s">
        <v>29</v>
      </c>
      <c r="AB249" s="15">
        <f t="shared" si="109"/>
        <v>0</v>
      </c>
      <c r="AC249" s="15">
        <f t="shared" si="109"/>
        <v>0</v>
      </c>
      <c r="AD249" s="15">
        <f t="shared" si="109"/>
        <v>0</v>
      </c>
      <c r="AE249" s="15">
        <f t="shared" si="109"/>
        <v>0</v>
      </c>
      <c r="AF249" s="15">
        <f t="shared" si="109"/>
        <v>0</v>
      </c>
      <c r="AG249" s="15">
        <f t="shared" si="109"/>
        <v>0</v>
      </c>
      <c r="AH249" s="27"/>
    </row>
    <row r="250" spans="1:34" x14ac:dyDescent="0.25">
      <c r="A250" s="13" t="s">
        <v>350</v>
      </c>
      <c r="B250" s="13" t="s">
        <v>351</v>
      </c>
      <c r="C250" s="2">
        <f>'WC def tax 22'!O251</f>
        <v>0</v>
      </c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2">
        <f t="shared" si="105"/>
        <v>0</v>
      </c>
      <c r="Q250" s="2">
        <f t="shared" si="106"/>
        <v>0</v>
      </c>
      <c r="R250" s="15">
        <f t="shared" si="107"/>
        <v>0</v>
      </c>
      <c r="S250" s="15" t="s">
        <v>29</v>
      </c>
      <c r="T250" s="15">
        <f t="shared" si="108"/>
        <v>0</v>
      </c>
      <c r="U250" s="15">
        <f t="shared" si="108"/>
        <v>0</v>
      </c>
      <c r="V250" s="15">
        <f t="shared" si="108"/>
        <v>0</v>
      </c>
      <c r="W250" s="15">
        <f t="shared" si="108"/>
        <v>0</v>
      </c>
      <c r="X250" s="15">
        <f t="shared" si="108"/>
        <v>0</v>
      </c>
      <c r="Y250" s="15">
        <f t="shared" si="108"/>
        <v>0</v>
      </c>
      <c r="Z250" s="15"/>
      <c r="AA250" s="15" t="s">
        <v>29</v>
      </c>
      <c r="AB250" s="15">
        <f t="shared" si="109"/>
        <v>0</v>
      </c>
      <c r="AC250" s="15">
        <f t="shared" si="109"/>
        <v>0</v>
      </c>
      <c r="AD250" s="15">
        <f t="shared" si="109"/>
        <v>0</v>
      </c>
      <c r="AE250" s="15">
        <f t="shared" si="109"/>
        <v>0</v>
      </c>
      <c r="AF250" s="15">
        <f t="shared" si="109"/>
        <v>0</v>
      </c>
      <c r="AG250" s="15">
        <f t="shared" si="109"/>
        <v>0</v>
      </c>
      <c r="AH250" s="27"/>
    </row>
    <row r="251" spans="1:34" x14ac:dyDescent="0.25">
      <c r="C251" s="26" t="s">
        <v>67</v>
      </c>
      <c r="D251" s="26" t="s">
        <v>67</v>
      </c>
      <c r="E251" s="26" t="s">
        <v>67</v>
      </c>
      <c r="F251" s="26" t="s">
        <v>67</v>
      </c>
      <c r="G251" s="26" t="s">
        <v>67</v>
      </c>
      <c r="H251" s="26" t="s">
        <v>67</v>
      </c>
      <c r="I251" s="26" t="s">
        <v>67</v>
      </c>
      <c r="J251" s="26" t="s">
        <v>67</v>
      </c>
      <c r="K251" s="26" t="s">
        <v>67</v>
      </c>
      <c r="L251" s="26" t="s">
        <v>67</v>
      </c>
      <c r="M251" s="26" t="s">
        <v>67</v>
      </c>
      <c r="N251" s="26" t="s">
        <v>67</v>
      </c>
      <c r="O251" s="26" t="s">
        <v>67</v>
      </c>
      <c r="P251" s="26" t="s">
        <v>67</v>
      </c>
      <c r="Q251" s="26" t="s">
        <v>67</v>
      </c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3"/>
    </row>
    <row r="252" spans="1:34" x14ac:dyDescent="0.25">
      <c r="A252" s="21" t="s">
        <v>352</v>
      </c>
      <c r="B252" s="22"/>
      <c r="C252" s="23">
        <f>SUM(C245:C250)</f>
        <v>-14121815.819999998</v>
      </c>
      <c r="D252" s="23">
        <f t="shared" ref="D252:Q252" si="110">SUM(D245:D250)</f>
        <v>-14121815.819999998</v>
      </c>
      <c r="E252" s="23">
        <f t="shared" si="110"/>
        <v>-14121815.819999998</v>
      </c>
      <c r="F252" s="23">
        <f t="shared" si="110"/>
        <v>-14121815.819999998</v>
      </c>
      <c r="G252" s="23">
        <f t="shared" si="110"/>
        <v>-14121815.819999998</v>
      </c>
      <c r="H252" s="23">
        <f t="shared" si="110"/>
        <v>-14121815.819999998</v>
      </c>
      <c r="I252" s="23">
        <f t="shared" si="110"/>
        <v>-14121815.819999998</v>
      </c>
      <c r="J252" s="23">
        <f t="shared" si="110"/>
        <v>-14121815.819999998</v>
      </c>
      <c r="K252" s="23">
        <f t="shared" si="110"/>
        <v>-14121815.819999998</v>
      </c>
      <c r="L252" s="23">
        <f t="shared" si="110"/>
        <v>-14121815.819999998</v>
      </c>
      <c r="M252" s="23">
        <f t="shared" si="110"/>
        <v>-14121815.819999998</v>
      </c>
      <c r="N252" s="23">
        <f t="shared" si="110"/>
        <v>-14121815.819999998</v>
      </c>
      <c r="O252" s="23">
        <f t="shared" si="110"/>
        <v>-14121815.819999998</v>
      </c>
      <c r="P252" s="23">
        <f t="shared" si="110"/>
        <v>-183583605.65999994</v>
      </c>
      <c r="Q252" s="23">
        <f t="shared" si="110"/>
        <v>-14121815.819999995</v>
      </c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3"/>
    </row>
    <row r="253" spans="1:34" x14ac:dyDescent="0.25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27">
        <f>SUM(AB253:AG253)+O253</f>
        <v>0</v>
      </c>
    </row>
    <row r="254" spans="1:34" x14ac:dyDescent="0.25">
      <c r="A254" s="21" t="s">
        <v>353</v>
      </c>
      <c r="B254" s="22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27"/>
    </row>
    <row r="255" spans="1:34" x14ac:dyDescent="0.25">
      <c r="A255" s="13" t="s">
        <v>354</v>
      </c>
      <c r="B255" s="13" t="s">
        <v>355</v>
      </c>
      <c r="C255" s="2">
        <f>'WC def tax 22'!O256</f>
        <v>407549</v>
      </c>
      <c r="D255" s="64">
        <v>407549</v>
      </c>
      <c r="E255" s="64">
        <v>407549</v>
      </c>
      <c r="F255" s="64">
        <v>407549</v>
      </c>
      <c r="G255" s="64">
        <v>407549</v>
      </c>
      <c r="H255" s="64">
        <v>407549</v>
      </c>
      <c r="I255" s="64">
        <v>407549</v>
      </c>
      <c r="J255" s="64">
        <v>407549</v>
      </c>
      <c r="K255" s="64">
        <v>407549</v>
      </c>
      <c r="L255" s="64">
        <v>407549</v>
      </c>
      <c r="M255" s="64">
        <v>407549</v>
      </c>
      <c r="N255" s="64">
        <v>407549</v>
      </c>
      <c r="O255" s="64">
        <v>407549</v>
      </c>
      <c r="P255" s="2">
        <f t="shared" ref="P255" si="111">SUM(C255:O255)</f>
        <v>5298137</v>
      </c>
      <c r="Q255" s="2">
        <f t="shared" ref="Q255" si="112">P255/13</f>
        <v>407549</v>
      </c>
      <c r="R255" s="15">
        <f>SUM(T255:Y255)+Q255</f>
        <v>-8.1509800000931136</v>
      </c>
      <c r="S255" s="15" t="s">
        <v>225</v>
      </c>
      <c r="T255" s="15">
        <f t="shared" ref="T255:Y255" si="113">-$Q255*T$3</f>
        <v>-66084.070349999995</v>
      </c>
      <c r="U255" s="15">
        <f t="shared" si="113"/>
        <v>-159641.01879</v>
      </c>
      <c r="V255" s="15">
        <f t="shared" si="113"/>
        <v>-74940.110119999998</v>
      </c>
      <c r="W255" s="15">
        <f t="shared" si="113"/>
        <v>-1446.7989500000001</v>
      </c>
      <c r="X255" s="15">
        <f t="shared" si="113"/>
        <v>-452.37939000000006</v>
      </c>
      <c r="Y255" s="15">
        <f t="shared" si="113"/>
        <v>-104992.77338000001</v>
      </c>
      <c r="Z255" s="15"/>
      <c r="AA255" s="15" t="s">
        <v>225</v>
      </c>
      <c r="AB255" s="15">
        <f t="shared" ref="AB255:AG255" si="114">-$O255*AB$3</f>
        <v>-66084.070349999995</v>
      </c>
      <c r="AC255" s="15">
        <f t="shared" si="114"/>
        <v>-159641.01879</v>
      </c>
      <c r="AD255" s="15">
        <f t="shared" si="114"/>
        <v>-74940.110119999998</v>
      </c>
      <c r="AE255" s="15">
        <f t="shared" si="114"/>
        <v>-1446.7989500000001</v>
      </c>
      <c r="AF255" s="15">
        <f t="shared" si="114"/>
        <v>-452.37939000000006</v>
      </c>
      <c r="AG255" s="15">
        <f t="shared" si="114"/>
        <v>-104992.77338000001</v>
      </c>
      <c r="AH255" s="3"/>
    </row>
    <row r="256" spans="1:34" x14ac:dyDescent="0.25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3"/>
    </row>
    <row r="257" spans="1:34" ht="15.75" x14ac:dyDescent="0.3">
      <c r="A257" s="18" t="s">
        <v>356</v>
      </c>
      <c r="B257" s="19"/>
      <c r="C257" s="20">
        <f>C255+C252+C242+C236</f>
        <v>-13756527.609999998</v>
      </c>
      <c r="D257" s="20">
        <f t="shared" ref="D257:Q257" si="115">D255+D252+D242+D236</f>
        <v>-13753882.609999998</v>
      </c>
      <c r="E257" s="20">
        <f t="shared" si="115"/>
        <v>-13751237.609999998</v>
      </c>
      <c r="F257" s="20">
        <f t="shared" si="115"/>
        <v>-13748592.609999998</v>
      </c>
      <c r="G257" s="20">
        <f t="shared" si="115"/>
        <v>-13745947.609999998</v>
      </c>
      <c r="H257" s="20">
        <f t="shared" si="115"/>
        <v>-13743302.609999998</v>
      </c>
      <c r="I257" s="20">
        <f t="shared" si="115"/>
        <v>-13740657.609999998</v>
      </c>
      <c r="J257" s="20">
        <f t="shared" si="115"/>
        <v>-13738012.609999998</v>
      </c>
      <c r="K257" s="20">
        <f t="shared" si="115"/>
        <v>-13735367.609999998</v>
      </c>
      <c r="L257" s="20">
        <f t="shared" si="115"/>
        <v>-13732722.609999998</v>
      </c>
      <c r="M257" s="20">
        <f t="shared" si="115"/>
        <v>-13730077.609999998</v>
      </c>
      <c r="N257" s="20">
        <f t="shared" si="115"/>
        <v>-13727432.609999998</v>
      </c>
      <c r="O257" s="20">
        <f t="shared" si="115"/>
        <v>-13724787.609999998</v>
      </c>
      <c r="P257" s="20">
        <f t="shared" si="115"/>
        <v>-178628548.92999995</v>
      </c>
      <c r="Q257" s="20">
        <f t="shared" si="115"/>
        <v>-13740657.609999994</v>
      </c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3"/>
    </row>
    <row r="258" spans="1:34" x14ac:dyDescent="0.25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3"/>
    </row>
    <row r="259" spans="1:34" ht="15.75" x14ac:dyDescent="0.3">
      <c r="A259" s="18" t="s">
        <v>357</v>
      </c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3"/>
    </row>
    <row r="260" spans="1:34" x14ac:dyDescent="0.25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3"/>
    </row>
    <row r="261" spans="1:34" x14ac:dyDescent="0.25">
      <c r="A261" s="21" t="s">
        <v>358</v>
      </c>
      <c r="B261" s="22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3"/>
    </row>
    <row r="262" spans="1:34" x14ac:dyDescent="0.25">
      <c r="A262" s="13" t="s">
        <v>359</v>
      </c>
      <c r="B262" s="13" t="s">
        <v>360</v>
      </c>
      <c r="C262" s="2">
        <f>'WC def tax 22'!O263</f>
        <v>0</v>
      </c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2">
        <f t="shared" ref="P262:P264" si="116">SUM(C262:O262)</f>
        <v>0</v>
      </c>
      <c r="Q262" s="2">
        <f t="shared" ref="Q262:Q264" si="117">P262/13</f>
        <v>0</v>
      </c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3"/>
    </row>
    <row r="263" spans="1:34" x14ac:dyDescent="0.25">
      <c r="A263" s="13" t="s">
        <v>361</v>
      </c>
      <c r="B263" s="13" t="s">
        <v>362</v>
      </c>
      <c r="C263" s="2">
        <f>'WC def tax 22'!O264</f>
        <v>0</v>
      </c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2">
        <f t="shared" si="116"/>
        <v>0</v>
      </c>
      <c r="Q263" s="2">
        <f t="shared" si="117"/>
        <v>0</v>
      </c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3"/>
    </row>
    <row r="264" spans="1:34" x14ac:dyDescent="0.25">
      <c r="A264" s="13" t="s">
        <v>363</v>
      </c>
      <c r="B264" s="13" t="s">
        <v>364</v>
      </c>
      <c r="C264" s="2">
        <f>'WC def tax 22'!O265</f>
        <v>69785739.302581668</v>
      </c>
      <c r="D264" s="158">
        <v>69768847.522851199</v>
      </c>
      <c r="E264" s="158">
        <v>69753491.359459877</v>
      </c>
      <c r="F264" s="158">
        <v>69735831.771559834</v>
      </c>
      <c r="G264" s="158">
        <v>69720475.608168513</v>
      </c>
      <c r="H264" s="158">
        <v>69702816.02026847</v>
      </c>
      <c r="I264" s="158">
        <v>69685924.240538001</v>
      </c>
      <c r="J264" s="158">
        <v>69669488.066560939</v>
      </c>
      <c r="K264" s="158">
        <v>69651486.542681292</v>
      </c>
      <c r="L264" s="158">
        <v>69635050.36870423</v>
      </c>
      <c r="M264" s="158">
        <v>69617831.519775867</v>
      </c>
      <c r="N264" s="158">
        <v>69600612.670847505</v>
      </c>
      <c r="O264" s="158">
        <v>69584176.496870443</v>
      </c>
      <c r="P264" s="2">
        <f t="shared" si="116"/>
        <v>905911771.49086785</v>
      </c>
      <c r="Q264" s="2">
        <f t="shared" si="117"/>
        <v>69685520.883912906</v>
      </c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3"/>
    </row>
    <row r="265" spans="1:34" x14ac:dyDescent="0.25">
      <c r="C265" s="26" t="s">
        <v>67</v>
      </c>
      <c r="D265" s="26" t="s">
        <v>67</v>
      </c>
      <c r="E265" s="26" t="s">
        <v>67</v>
      </c>
      <c r="F265" s="26" t="s">
        <v>67</v>
      </c>
      <c r="G265" s="26" t="s">
        <v>67</v>
      </c>
      <c r="H265" s="26" t="s">
        <v>67</v>
      </c>
      <c r="I265" s="26" t="s">
        <v>67</v>
      </c>
      <c r="J265" s="26" t="s">
        <v>67</v>
      </c>
      <c r="K265" s="26" t="s">
        <v>67</v>
      </c>
      <c r="L265" s="26" t="s">
        <v>67</v>
      </c>
      <c r="M265" s="26" t="s">
        <v>67</v>
      </c>
      <c r="N265" s="26" t="s">
        <v>67</v>
      </c>
      <c r="O265" s="26" t="s">
        <v>67</v>
      </c>
      <c r="P265" s="26" t="s">
        <v>67</v>
      </c>
      <c r="Q265" s="26" t="s">
        <v>67</v>
      </c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3"/>
    </row>
    <row r="266" spans="1:34" x14ac:dyDescent="0.25">
      <c r="A266" s="21" t="s">
        <v>365</v>
      </c>
      <c r="B266" s="22"/>
      <c r="C266" s="23">
        <f>SUM(C262:C264)</f>
        <v>69785739.302581668</v>
      </c>
      <c r="D266" s="23">
        <f t="shared" ref="D266:Q266" si="118">SUM(D262:D264)</f>
        <v>69768847.522851199</v>
      </c>
      <c r="E266" s="23">
        <f t="shared" si="118"/>
        <v>69753491.359459877</v>
      </c>
      <c r="F266" s="23">
        <f t="shared" si="118"/>
        <v>69735831.771559834</v>
      </c>
      <c r="G266" s="23">
        <f t="shared" si="118"/>
        <v>69720475.608168513</v>
      </c>
      <c r="H266" s="23">
        <f t="shared" si="118"/>
        <v>69702816.02026847</v>
      </c>
      <c r="I266" s="23">
        <f t="shared" si="118"/>
        <v>69685924.240538001</v>
      </c>
      <c r="J266" s="23">
        <f t="shared" si="118"/>
        <v>69669488.066560939</v>
      </c>
      <c r="K266" s="23">
        <f t="shared" si="118"/>
        <v>69651486.542681292</v>
      </c>
      <c r="L266" s="23">
        <f t="shared" si="118"/>
        <v>69635050.36870423</v>
      </c>
      <c r="M266" s="23">
        <f t="shared" si="118"/>
        <v>69617831.519775867</v>
      </c>
      <c r="N266" s="23">
        <f t="shared" si="118"/>
        <v>69600612.670847505</v>
      </c>
      <c r="O266" s="23">
        <f t="shared" si="118"/>
        <v>69584176.496870443</v>
      </c>
      <c r="P266" s="23">
        <f t="shared" si="118"/>
        <v>905911771.49086785</v>
      </c>
      <c r="Q266" s="23">
        <f t="shared" si="118"/>
        <v>69685520.883912906</v>
      </c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3"/>
    </row>
    <row r="267" spans="1:34" x14ac:dyDescent="0.25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3"/>
    </row>
    <row r="268" spans="1:34" ht="15.75" x14ac:dyDescent="0.3">
      <c r="A268" s="18" t="s">
        <v>366</v>
      </c>
      <c r="B268" s="19"/>
      <c r="C268" s="20">
        <f>C266+C257+C215</f>
        <v>62948009.418414995</v>
      </c>
      <c r="D268" s="20">
        <f t="shared" ref="D268:Q268" si="119">D266+D257+D215</f>
        <v>62422908.21374958</v>
      </c>
      <c r="E268" s="20">
        <f t="shared" si="119"/>
        <v>62404983.709508307</v>
      </c>
      <c r="F268" s="20">
        <f t="shared" si="119"/>
        <v>62400917.137393162</v>
      </c>
      <c r="G268" s="20">
        <f t="shared" si="119"/>
        <v>62382992.633151889</v>
      </c>
      <c r="H268" s="20">
        <f t="shared" si="119"/>
        <v>62361982.703274399</v>
      </c>
      <c r="I268" s="20">
        <f t="shared" si="119"/>
        <v>62358944.606371328</v>
      </c>
      <c r="J268" s="20">
        <f t="shared" si="119"/>
        <v>62339573.433339298</v>
      </c>
      <c r="K268" s="20">
        <f t="shared" si="119"/>
        <v>62318105.481923252</v>
      </c>
      <c r="L268" s="20">
        <f t="shared" si="119"/>
        <v>62316005.734537557</v>
      </c>
      <c r="M268" s="20">
        <f t="shared" si="119"/>
        <v>62295586.172313511</v>
      </c>
      <c r="N268" s="20">
        <f t="shared" si="119"/>
        <v>62271364.860089466</v>
      </c>
      <c r="O268" s="20">
        <f t="shared" si="119"/>
        <v>62269265.11270377</v>
      </c>
      <c r="P268" s="20">
        <f t="shared" si="119"/>
        <v>811090639.21677065</v>
      </c>
      <c r="Q268" s="20">
        <f t="shared" si="119"/>
        <v>62391587.632059276</v>
      </c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3"/>
    </row>
    <row r="269" spans="1:34" x14ac:dyDescent="0.25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3"/>
    </row>
    <row r="270" spans="1:34" ht="19.5" x14ac:dyDescent="0.4">
      <c r="A270" s="5" t="s">
        <v>367</v>
      </c>
      <c r="B270" s="16"/>
      <c r="C270" s="17">
        <f>C268</f>
        <v>62948009.418414995</v>
      </c>
      <c r="D270" s="17">
        <f t="shared" ref="D270:Q270" si="120">D268</f>
        <v>62422908.21374958</v>
      </c>
      <c r="E270" s="17">
        <f t="shared" si="120"/>
        <v>62404983.709508307</v>
      </c>
      <c r="F270" s="17">
        <f t="shared" si="120"/>
        <v>62400917.137393162</v>
      </c>
      <c r="G270" s="17">
        <f t="shared" si="120"/>
        <v>62382992.633151889</v>
      </c>
      <c r="H270" s="17">
        <f t="shared" si="120"/>
        <v>62361982.703274399</v>
      </c>
      <c r="I270" s="17">
        <f t="shared" si="120"/>
        <v>62358944.606371328</v>
      </c>
      <c r="J270" s="17">
        <f t="shared" si="120"/>
        <v>62339573.433339298</v>
      </c>
      <c r="K270" s="17">
        <f t="shared" si="120"/>
        <v>62318105.481923252</v>
      </c>
      <c r="L270" s="17">
        <f t="shared" si="120"/>
        <v>62316005.734537557</v>
      </c>
      <c r="M270" s="17">
        <f t="shared" si="120"/>
        <v>62295586.172313511</v>
      </c>
      <c r="N270" s="17">
        <f t="shared" si="120"/>
        <v>62271364.860089466</v>
      </c>
      <c r="O270" s="17">
        <f t="shared" si="120"/>
        <v>62269265.11270377</v>
      </c>
      <c r="P270" s="17">
        <f t="shared" si="120"/>
        <v>811090639.21677065</v>
      </c>
      <c r="Q270" s="17">
        <f t="shared" si="120"/>
        <v>62391587.632059276</v>
      </c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3"/>
    </row>
    <row r="271" spans="1:34" x14ac:dyDescent="0.25">
      <c r="C271" s="26" t="s">
        <v>231</v>
      </c>
      <c r="D271" s="26" t="s">
        <v>231</v>
      </c>
      <c r="E271" s="26" t="s">
        <v>231</v>
      </c>
      <c r="F271" s="26" t="s">
        <v>231</v>
      </c>
      <c r="G271" s="26" t="s">
        <v>231</v>
      </c>
      <c r="H271" s="26" t="s">
        <v>231</v>
      </c>
      <c r="I271" s="26" t="s">
        <v>231</v>
      </c>
      <c r="J271" s="26" t="s">
        <v>231</v>
      </c>
      <c r="K271" s="26" t="s">
        <v>231</v>
      </c>
      <c r="L271" s="26" t="s">
        <v>231</v>
      </c>
      <c r="M271" s="26" t="s">
        <v>231</v>
      </c>
      <c r="N271" s="26" t="s">
        <v>231</v>
      </c>
      <c r="O271" s="26" t="s">
        <v>231</v>
      </c>
      <c r="P271" s="26" t="s">
        <v>231</v>
      </c>
      <c r="Q271" s="26" t="s">
        <v>231</v>
      </c>
      <c r="R271" s="15"/>
      <c r="S271" s="15"/>
      <c r="T271" s="61">
        <f t="shared" ref="T271:Y271" si="121">SUM(T79:T270)-SUM(T218:T234)-T239-T240</f>
        <v>2806477.1922714002</v>
      </c>
      <c r="U271" s="61">
        <f t="shared" si="121"/>
        <v>6029748.6777471174</v>
      </c>
      <c r="V271" s="61">
        <f t="shared" si="121"/>
        <v>-507995.46210818377</v>
      </c>
      <c r="W271" s="61">
        <f t="shared" si="121"/>
        <v>-5985.6001851079009</v>
      </c>
      <c r="X271" s="61">
        <f t="shared" si="121"/>
        <v>-5072.0844564002082</v>
      </c>
      <c r="Y271" s="61">
        <f t="shared" si="121"/>
        <v>2182799.5080662998</v>
      </c>
      <c r="Z271" s="61"/>
      <c r="AA271" s="61"/>
      <c r="AB271" s="61">
        <f t="shared" ref="AB271:AG271" si="122">SUM(AB79:AB270)-SUM(AB218:AB234)-AB239-AB240</f>
        <v>2818649.09296</v>
      </c>
      <c r="AC271" s="61">
        <f t="shared" si="122"/>
        <v>6057024.3587395009</v>
      </c>
      <c r="AD271" s="61">
        <f t="shared" si="122"/>
        <v>-497034.61193199945</v>
      </c>
      <c r="AE271" s="61">
        <f t="shared" si="122"/>
        <v>-5747.0462013333308</v>
      </c>
      <c r="AF271" s="61">
        <f t="shared" si="122"/>
        <v>-4952.9654453333296</v>
      </c>
      <c r="AG271" s="61">
        <f t="shared" si="122"/>
        <v>2200893.9490928343</v>
      </c>
      <c r="AH271" s="3"/>
    </row>
    <row r="272" spans="1:34" x14ac:dyDescent="0.25">
      <c r="C272" s="2">
        <f t="shared" ref="C272:Q272" si="123">C162-C270</f>
        <v>-429317.57999999821</v>
      </c>
      <c r="D272" s="2">
        <f t="shared" si="123"/>
        <v>0</v>
      </c>
      <c r="E272" s="2">
        <f t="shared" si="123"/>
        <v>0</v>
      </c>
      <c r="F272" s="2">
        <f t="shared" si="123"/>
        <v>0</v>
      </c>
      <c r="G272" s="2">
        <f t="shared" si="123"/>
        <v>0</v>
      </c>
      <c r="H272" s="2">
        <f t="shared" si="123"/>
        <v>0</v>
      </c>
      <c r="I272" s="2">
        <f t="shared" si="123"/>
        <v>0</v>
      </c>
      <c r="J272" s="2">
        <f t="shared" si="123"/>
        <v>0</v>
      </c>
      <c r="K272" s="2">
        <f t="shared" si="123"/>
        <v>0</v>
      </c>
      <c r="L272" s="2">
        <f t="shared" si="123"/>
        <v>0</v>
      </c>
      <c r="M272" s="2">
        <f t="shared" si="123"/>
        <v>0</v>
      </c>
      <c r="N272" s="2">
        <f t="shared" si="123"/>
        <v>0</v>
      </c>
      <c r="O272" s="2">
        <f t="shared" si="123"/>
        <v>0</v>
      </c>
      <c r="P272" s="2">
        <f t="shared" si="123"/>
        <v>-429317.58000004292</v>
      </c>
      <c r="Q272" s="2">
        <f t="shared" si="123"/>
        <v>-33024.429230779409</v>
      </c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3"/>
    </row>
    <row r="273" spans="1:34" x14ac:dyDescent="0.25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3"/>
    </row>
    <row r="274" spans="1:34" x14ac:dyDescent="0.25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 x14ac:dyDescent="0.25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 x14ac:dyDescent="0.25">
      <c r="A276" s="13" t="s">
        <v>368</v>
      </c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62" t="s">
        <v>369</v>
      </c>
      <c r="R276" s="3"/>
      <c r="S276" s="3"/>
      <c r="T276" s="3"/>
      <c r="U276" s="3" t="s">
        <v>370</v>
      </c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 x14ac:dyDescent="0.25">
      <c r="A277" s="13" t="s">
        <v>371</v>
      </c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62" t="s">
        <v>372</v>
      </c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 x14ac:dyDescent="0.25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 x14ac:dyDescent="0.25">
      <c r="A279" s="35"/>
      <c r="B279" s="35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 x14ac:dyDescent="0.25">
      <c r="A280" s="35"/>
      <c r="B280" s="35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 x14ac:dyDescent="0.25">
      <c r="A281" s="35"/>
      <c r="B281" s="35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24"/>
      <c r="P282" s="24"/>
      <c r="Q282" s="24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24"/>
      <c r="P283" s="24"/>
      <c r="Q283" s="24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24"/>
      <c r="P284" s="24"/>
      <c r="Q284" s="24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24"/>
      <c r="P285" s="24"/>
      <c r="Q285" s="24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24"/>
      <c r="P286" s="24"/>
      <c r="Q286" s="24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24"/>
      <c r="P287" s="24"/>
      <c r="Q287" s="24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24"/>
      <c r="P288" s="24"/>
      <c r="Q288" s="24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24"/>
      <c r="P289" s="24"/>
      <c r="Q289" s="24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24"/>
      <c r="P290" s="24"/>
      <c r="Q290" s="24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24"/>
      <c r="P291" s="24"/>
      <c r="Q291" s="24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24"/>
      <c r="P292" s="24"/>
      <c r="Q292" s="24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24"/>
      <c r="P293" s="24"/>
      <c r="Q293" s="24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24"/>
      <c r="P294" s="24"/>
      <c r="Q294" s="24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24"/>
      <c r="P295" s="24"/>
      <c r="Q295" s="24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24"/>
      <c r="P296" s="24"/>
      <c r="Q296" s="24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24"/>
      <c r="P297" s="24"/>
      <c r="Q297" s="24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24"/>
      <c r="P298" s="24"/>
      <c r="Q298" s="24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24"/>
      <c r="P299" s="24"/>
      <c r="Q299" s="24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24"/>
      <c r="P300" s="24"/>
      <c r="Q300" s="24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24"/>
      <c r="P301" s="24"/>
      <c r="Q301" s="24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24"/>
      <c r="P302" s="24"/>
      <c r="Q302" s="24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24"/>
      <c r="P303" s="24"/>
      <c r="Q303" s="24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 x14ac:dyDescent="0.25">
      <c r="A304" s="35"/>
      <c r="B304" s="35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 x14ac:dyDescent="0.25">
      <c r="A305" s="35"/>
      <c r="B305" s="35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 x14ac:dyDescent="0.25">
      <c r="A306" s="35"/>
      <c r="B306" s="35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 x14ac:dyDescent="0.25">
      <c r="A307" s="35"/>
      <c r="B307" s="35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 x14ac:dyDescent="0.25">
      <c r="A308" s="35"/>
      <c r="B308" s="35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64"/>
      <c r="P309" s="64"/>
      <c r="Q309" s="64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7"/>
  <sheetViews>
    <sheetView workbookViewId="0">
      <selection activeCell="M36" sqref="M36"/>
    </sheetView>
  </sheetViews>
  <sheetFormatPr defaultRowHeight="15" x14ac:dyDescent="0.25"/>
  <cols>
    <col min="1" max="1" width="3" customWidth="1"/>
    <col min="2" max="2" width="16.42578125" customWidth="1"/>
    <col min="3" max="3" width="47.42578125" bestFit="1" customWidth="1"/>
    <col min="4" max="4" width="15.85546875" style="13" customWidth="1"/>
    <col min="5" max="5" width="17.85546875" customWidth="1"/>
    <col min="6" max="6" width="4.42578125" customWidth="1"/>
    <col min="7" max="7" width="13" customWidth="1"/>
    <col min="8" max="8" width="12.140625" customWidth="1"/>
    <col min="9" max="9" width="12.7109375" customWidth="1"/>
    <col min="10" max="10" width="13.42578125" customWidth="1"/>
    <col min="11" max="11" width="11.28515625" customWidth="1"/>
    <col min="12" max="12" width="12.28515625" customWidth="1"/>
    <col min="13" max="13" width="13.7109375" customWidth="1"/>
    <col min="14" max="14" width="13.5703125" customWidth="1"/>
    <col min="15" max="15" width="11.42578125" customWidth="1"/>
    <col min="16" max="16" width="13.5703125" customWidth="1"/>
    <col min="17" max="17" width="12.7109375" customWidth="1"/>
    <col min="18" max="18" width="12.85546875" customWidth="1"/>
    <col min="19" max="19" width="14.140625" customWidth="1"/>
    <col min="20" max="20" width="11.85546875" customWidth="1"/>
    <col min="21" max="21" width="3.28515625" customWidth="1"/>
    <col min="24" max="24" width="17" bestFit="1" customWidth="1"/>
  </cols>
  <sheetData>
    <row r="1" spans="1:26" x14ac:dyDescent="0.25">
      <c r="A1" t="s">
        <v>373</v>
      </c>
    </row>
    <row r="2" spans="1:26" x14ac:dyDescent="0.25">
      <c r="A2" t="s">
        <v>374</v>
      </c>
    </row>
    <row r="5" spans="1:26" x14ac:dyDescent="0.25">
      <c r="B5" t="s">
        <v>375</v>
      </c>
      <c r="C5" t="s">
        <v>376</v>
      </c>
      <c r="D5" s="13" t="s">
        <v>377</v>
      </c>
      <c r="E5" t="s">
        <v>378</v>
      </c>
      <c r="G5" s="65">
        <v>44179</v>
      </c>
      <c r="H5" s="65">
        <v>44209</v>
      </c>
      <c r="I5" s="65">
        <v>44239</v>
      </c>
      <c r="J5" s="65">
        <v>44269</v>
      </c>
      <c r="K5" s="65">
        <v>44299</v>
      </c>
      <c r="L5" s="65">
        <v>44329</v>
      </c>
      <c r="M5" s="65">
        <v>44359</v>
      </c>
      <c r="N5" s="65">
        <v>44389</v>
      </c>
      <c r="O5" s="65">
        <v>44419</v>
      </c>
      <c r="P5" s="65">
        <v>44449</v>
      </c>
      <c r="Q5" s="65">
        <f t="shared" ref="Q5:S5" si="0">P5+30</f>
        <v>44479</v>
      </c>
      <c r="R5" s="65">
        <f t="shared" si="0"/>
        <v>44509</v>
      </c>
      <c r="S5" s="65">
        <f t="shared" si="0"/>
        <v>44539</v>
      </c>
      <c r="T5" s="66" t="s">
        <v>379</v>
      </c>
    </row>
    <row r="6" spans="1:26" x14ac:dyDescent="0.25">
      <c r="C6" s="67" t="s">
        <v>380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</row>
    <row r="7" spans="1:26" x14ac:dyDescent="0.25"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6"/>
    </row>
    <row r="8" spans="1:26" x14ac:dyDescent="0.25">
      <c r="B8" t="s">
        <v>381</v>
      </c>
      <c r="C8" t="s">
        <v>382</v>
      </c>
      <c r="D8" s="13" t="s">
        <v>71</v>
      </c>
      <c r="E8" t="s">
        <v>383</v>
      </c>
      <c r="G8" s="68">
        <f>'[1]FC with allocations'!C35</f>
        <v>0</v>
      </c>
      <c r="H8" s="68">
        <f>'[1]FC with allocations'!D35</f>
        <v>0</v>
      </c>
      <c r="I8" s="68">
        <f>'[1]FC with allocations'!E35</f>
        <v>0</v>
      </c>
      <c r="J8" s="68">
        <f>'[1]FC with allocations'!F35</f>
        <v>0</v>
      </c>
      <c r="K8" s="68">
        <f>'[1]FC with allocations'!G35</f>
        <v>3418</v>
      </c>
      <c r="L8" s="68">
        <f>'[1]FC with allocations'!H35</f>
        <v>3418</v>
      </c>
      <c r="M8" s="68">
        <f>'[1]FC with allocations'!I35</f>
        <v>0</v>
      </c>
      <c r="N8" s="68">
        <f>'[1]FC with allocations'!J35</f>
        <v>0</v>
      </c>
      <c r="O8" s="68">
        <f>'[1]FC with allocations'!K35</f>
        <v>0</v>
      </c>
      <c r="P8" s="68">
        <f>'[1]FC with allocations'!L35</f>
        <v>1364</v>
      </c>
      <c r="Q8" s="68">
        <f>'[1]FC with allocations'!M35</f>
        <v>0</v>
      </c>
      <c r="R8" s="68">
        <f>'[1]FC with allocations'!N35</f>
        <v>0</v>
      </c>
      <c r="S8" s="68">
        <f>'[1]FC with allocations'!O35</f>
        <v>0</v>
      </c>
      <c r="T8" s="68">
        <f>SUM(G8:S8)/13</f>
        <v>630.76923076923072</v>
      </c>
      <c r="U8" s="68"/>
      <c r="V8" s="68"/>
      <c r="W8" s="68"/>
      <c r="X8" s="68"/>
      <c r="Y8" s="68"/>
      <c r="Z8" s="68"/>
    </row>
    <row r="9" spans="1:26" x14ac:dyDescent="0.25">
      <c r="C9" s="69"/>
      <c r="D9" s="70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x14ac:dyDescent="0.25">
      <c r="G10" s="71">
        <f t="shared" ref="G10:T10" si="1">SUM(G8:G9)</f>
        <v>0</v>
      </c>
      <c r="H10" s="71">
        <f t="shared" si="1"/>
        <v>0</v>
      </c>
      <c r="I10" s="71">
        <f t="shared" si="1"/>
        <v>0</v>
      </c>
      <c r="J10" s="71">
        <f t="shared" si="1"/>
        <v>0</v>
      </c>
      <c r="K10" s="71">
        <f t="shared" si="1"/>
        <v>3418</v>
      </c>
      <c r="L10" s="71">
        <f t="shared" si="1"/>
        <v>3418</v>
      </c>
      <c r="M10" s="71">
        <f t="shared" si="1"/>
        <v>0</v>
      </c>
      <c r="N10" s="71">
        <f t="shared" si="1"/>
        <v>0</v>
      </c>
      <c r="O10" s="71">
        <f t="shared" si="1"/>
        <v>0</v>
      </c>
      <c r="P10" s="71">
        <f t="shared" si="1"/>
        <v>1364</v>
      </c>
      <c r="Q10" s="72">
        <f t="shared" si="1"/>
        <v>0</v>
      </c>
      <c r="R10" s="72">
        <f t="shared" si="1"/>
        <v>0</v>
      </c>
      <c r="S10" s="72">
        <f t="shared" si="1"/>
        <v>0</v>
      </c>
      <c r="T10" s="72">
        <f t="shared" si="1"/>
        <v>630.76923076923072</v>
      </c>
      <c r="U10" s="68"/>
      <c r="V10" s="68"/>
      <c r="W10" s="68"/>
      <c r="X10" s="68"/>
      <c r="Y10" s="68"/>
      <c r="Z10" s="68"/>
    </row>
    <row r="11" spans="1:26" x14ac:dyDescent="0.25"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73"/>
      <c r="R11" s="73"/>
      <c r="S11" s="73"/>
      <c r="T11" s="73"/>
      <c r="U11" s="68"/>
      <c r="V11" s="68"/>
      <c r="W11" s="68"/>
      <c r="X11" s="68"/>
      <c r="Y11" s="68"/>
      <c r="Z11" s="68"/>
    </row>
    <row r="12" spans="1:26" x14ac:dyDescent="0.25"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73"/>
      <c r="R12" s="73"/>
      <c r="S12" s="73"/>
      <c r="T12" s="73"/>
      <c r="U12" s="68"/>
      <c r="V12" s="68"/>
      <c r="W12" s="68"/>
      <c r="X12" s="68"/>
      <c r="Y12" s="68"/>
      <c r="Z12" s="68"/>
    </row>
    <row r="13" spans="1:26" x14ac:dyDescent="0.25">
      <c r="C13" s="67" t="s">
        <v>384</v>
      </c>
      <c r="D13" s="13">
        <v>10101010</v>
      </c>
      <c r="E13" t="s">
        <v>385</v>
      </c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73">
        <f t="shared" ref="T13:T25" si="2">SUM(G13:S13)/13</f>
        <v>0</v>
      </c>
      <c r="U13" s="68"/>
      <c r="V13" s="68"/>
      <c r="W13" s="68"/>
      <c r="X13" s="68"/>
      <c r="Y13" s="68"/>
      <c r="Z13" s="68"/>
    </row>
    <row r="14" spans="1:26" x14ac:dyDescent="0.25">
      <c r="C14" t="s">
        <v>386</v>
      </c>
      <c r="D14" s="13" t="s">
        <v>44</v>
      </c>
      <c r="E14" t="s">
        <v>385</v>
      </c>
      <c r="G14" s="68">
        <f>'[1]FC PP Plant and AD'!C9</f>
        <v>596857.97</v>
      </c>
      <c r="H14" s="68">
        <f>'[1]FC PP Plant and AD'!D9</f>
        <v>596857.97</v>
      </c>
      <c r="I14" s="68">
        <f>'[1]FC PP Plant and AD'!E9</f>
        <v>596857.97</v>
      </c>
      <c r="J14" s="68">
        <f>'[1]FC PP Plant and AD'!F9</f>
        <v>596857.97</v>
      </c>
      <c r="K14" s="68">
        <f>'[1]FC PP Plant and AD'!G9</f>
        <v>596857.97</v>
      </c>
      <c r="L14" s="68">
        <f>'[1]FC PP Plant and AD'!H9</f>
        <v>596857.97</v>
      </c>
      <c r="M14" s="68">
        <f>'[1]FC PP Plant and AD'!I9</f>
        <v>596857.97</v>
      </c>
      <c r="N14" s="68">
        <f>'[1]FC PP Plant and AD'!J9</f>
        <v>596857.97</v>
      </c>
      <c r="O14" s="68">
        <f>'[1]FC PP Plant and AD'!K9</f>
        <v>596857.97</v>
      </c>
      <c r="P14" s="68">
        <f>'[1]FC PP Plant and AD'!L9</f>
        <v>596857.97</v>
      </c>
      <c r="Q14" s="68">
        <f>'[1]FC PP Plant and AD'!M9</f>
        <v>596857.97</v>
      </c>
      <c r="R14" s="68">
        <f>'[1]FC PP Plant and AD'!N9</f>
        <v>596857.97</v>
      </c>
      <c r="S14" s="68">
        <f>'[1]FC PP Plant and AD'!O9</f>
        <v>596857.97</v>
      </c>
      <c r="T14" s="73">
        <f t="shared" si="2"/>
        <v>596857.96999999986</v>
      </c>
      <c r="U14" s="68"/>
      <c r="V14" s="68"/>
      <c r="W14" s="68"/>
      <c r="X14" s="68"/>
      <c r="Y14" s="68"/>
      <c r="Z14" s="68"/>
    </row>
    <row r="15" spans="1:26" x14ac:dyDescent="0.25">
      <c r="C15" t="s">
        <v>387</v>
      </c>
      <c r="D15" s="13" t="s">
        <v>46</v>
      </c>
      <c r="E15" t="s">
        <v>385</v>
      </c>
      <c r="G15" s="68">
        <f>'[1]FC PP Plant and AD'!C10</f>
        <v>7749844.6500000004</v>
      </c>
      <c r="H15" s="68">
        <f>'[1]FC PP Plant and AD'!D10</f>
        <v>7751696.3800000008</v>
      </c>
      <c r="I15" s="68">
        <f>'[1]FC PP Plant and AD'!E10</f>
        <v>7759924.9100000001</v>
      </c>
      <c r="J15" s="68">
        <f>'[1]FC PP Plant and AD'!F10</f>
        <v>7765008.8700000001</v>
      </c>
      <c r="K15" s="68">
        <f>'[1]FC PP Plant and AD'!G10</f>
        <v>7766493.8000000007</v>
      </c>
      <c r="L15" s="68">
        <f>'[1]FC PP Plant and AD'!H10</f>
        <v>7768078.9600000009</v>
      </c>
      <c r="M15" s="68">
        <f>'[1]FC PP Plant and AD'!I10</f>
        <v>7746101.1600000001</v>
      </c>
      <c r="N15" s="68">
        <f>'[1]FC PP Plant and AD'!J10</f>
        <v>7746101.1600000001</v>
      </c>
      <c r="O15" s="68">
        <f>'[1]FC PP Plant and AD'!K10</f>
        <v>7746101.1600000001</v>
      </c>
      <c r="P15" s="68">
        <f>'[1]FC PP Plant and AD'!L10</f>
        <v>7746101.1600000001</v>
      </c>
      <c r="Q15" s="68">
        <f>'[1]FC PP Plant and AD'!M10</f>
        <v>7746101.1600000001</v>
      </c>
      <c r="R15" s="68">
        <f>'[1]FC PP Plant and AD'!N10</f>
        <v>7746101.1600000001</v>
      </c>
      <c r="S15" s="68">
        <f>'[1]FC PP Plant and AD'!O10</f>
        <v>7746101.1600000001</v>
      </c>
      <c r="T15" s="73">
        <f t="shared" si="2"/>
        <v>7752596.59153846</v>
      </c>
      <c r="U15" s="68"/>
      <c r="V15" s="68"/>
      <c r="W15" s="68"/>
      <c r="X15" s="68"/>
      <c r="Y15" s="68"/>
      <c r="Z15" s="68"/>
    </row>
    <row r="16" spans="1:26" x14ac:dyDescent="0.25">
      <c r="C16" t="s">
        <v>388</v>
      </c>
      <c r="D16" s="13" t="s">
        <v>48</v>
      </c>
      <c r="E16" t="s">
        <v>385</v>
      </c>
      <c r="G16" s="68">
        <f>'[1]FC PP Plant and AD'!C12</f>
        <v>738584.92</v>
      </c>
      <c r="H16" s="68">
        <f>'[1]FC PP Plant and AD'!D12</f>
        <v>738584.92</v>
      </c>
      <c r="I16" s="68">
        <f>'[1]FC PP Plant and AD'!E12</f>
        <v>738584.92</v>
      </c>
      <c r="J16" s="68">
        <f>'[1]FC PP Plant and AD'!F12</f>
        <v>738584.92</v>
      </c>
      <c r="K16" s="68">
        <f>'[1]FC PP Plant and AD'!G12</f>
        <v>738584.92</v>
      </c>
      <c r="L16" s="68">
        <f>'[1]FC PP Plant and AD'!H12</f>
        <v>738584.92</v>
      </c>
      <c r="M16" s="68">
        <f>'[1]FC PP Plant and AD'!I12</f>
        <v>742002.67</v>
      </c>
      <c r="N16" s="68">
        <f>'[1]FC PP Plant and AD'!J12</f>
        <v>742002.67</v>
      </c>
      <c r="O16" s="68">
        <f>'[1]FC PP Plant and AD'!K12</f>
        <v>742002.67</v>
      </c>
      <c r="P16" s="68">
        <f>'[1]FC PP Plant and AD'!L12</f>
        <v>742002.67</v>
      </c>
      <c r="Q16" s="68">
        <f>'[1]FC PP Plant and AD'!M12</f>
        <v>742002.67</v>
      </c>
      <c r="R16" s="68">
        <f>'[1]FC PP Plant and AD'!N12</f>
        <v>742002.67</v>
      </c>
      <c r="S16" s="68">
        <f>'[1]FC PP Plant and AD'!O12</f>
        <v>742002.67</v>
      </c>
      <c r="T16" s="73">
        <f t="shared" si="2"/>
        <v>740425.24692307704</v>
      </c>
      <c r="U16" s="68"/>
      <c r="V16" s="68"/>
      <c r="W16" s="68"/>
      <c r="X16" s="68"/>
      <c r="Y16" s="68"/>
      <c r="Z16" s="68"/>
    </row>
    <row r="17" spans="2:26" x14ac:dyDescent="0.25">
      <c r="C17" t="s">
        <v>382</v>
      </c>
      <c r="D17" s="13">
        <v>10103912</v>
      </c>
      <c r="E17" t="s">
        <v>385</v>
      </c>
      <c r="G17" s="68">
        <f>'[1]FC PP Plant and AD'!C13</f>
        <v>155846.9</v>
      </c>
      <c r="H17" s="68">
        <f>'[1]FC PP Plant and AD'!D13</f>
        <v>155846.9</v>
      </c>
      <c r="I17" s="68">
        <f>'[1]FC PP Plant and AD'!E13</f>
        <v>155846.9</v>
      </c>
      <c r="J17" s="68">
        <f>'[1]FC PP Plant and AD'!F13</f>
        <v>152164.67000000001</v>
      </c>
      <c r="K17" s="68">
        <f>'[1]FC PP Plant and AD'!G13</f>
        <v>96328.87</v>
      </c>
      <c r="L17" s="68">
        <f>'[1]FC PP Plant and AD'!H13</f>
        <v>96328.87</v>
      </c>
      <c r="M17" s="68">
        <f>'[1]FC PP Plant and AD'!I13</f>
        <v>96328.87</v>
      </c>
      <c r="N17" s="68">
        <f>'[1]FC PP Plant and AD'!J13</f>
        <v>96328.87</v>
      </c>
      <c r="O17" s="68">
        <f>'[1]FC PP Plant and AD'!K13</f>
        <v>96328.87</v>
      </c>
      <c r="P17" s="68">
        <f>'[1]FC PP Plant and AD'!L13</f>
        <v>64153.94</v>
      </c>
      <c r="Q17" s="68">
        <f>'[1]FC PP Plant and AD'!M13</f>
        <v>64153.94</v>
      </c>
      <c r="R17" s="68">
        <f>'[1]FC PP Plant and AD'!N13</f>
        <v>64153.94</v>
      </c>
      <c r="S17" s="68">
        <f>'[1]FC PP Plant and AD'!O13</f>
        <v>41832.54</v>
      </c>
      <c r="T17" s="73">
        <f t="shared" si="2"/>
        <v>102741.8523076923</v>
      </c>
      <c r="U17" s="68"/>
      <c r="V17" s="68"/>
      <c r="W17" s="68"/>
      <c r="X17" s="68"/>
      <c r="Y17" s="68"/>
      <c r="Z17" s="68"/>
    </row>
    <row r="18" spans="2:26" x14ac:dyDescent="0.25">
      <c r="C18" t="s">
        <v>389</v>
      </c>
      <c r="D18" s="13" t="s">
        <v>52</v>
      </c>
      <c r="E18" t="s">
        <v>385</v>
      </c>
      <c r="G18" s="68">
        <f>'[1]FC PP Plant and AD'!C14</f>
        <v>432439.96</v>
      </c>
      <c r="H18" s="68">
        <f>'[1]FC PP Plant and AD'!D14</f>
        <v>432439.96</v>
      </c>
      <c r="I18" s="68">
        <f>'[1]FC PP Plant and AD'!E14</f>
        <v>432439.96</v>
      </c>
      <c r="J18" s="68">
        <f>'[1]FC PP Plant and AD'!F14</f>
        <v>432439.96</v>
      </c>
      <c r="K18" s="68">
        <f>'[1]FC PP Plant and AD'!G14</f>
        <v>432439.96</v>
      </c>
      <c r="L18" s="68">
        <f>'[1]FC PP Plant and AD'!H14</f>
        <v>432439.96</v>
      </c>
      <c r="M18" s="68">
        <f>'[1]FC PP Plant and AD'!I14</f>
        <v>432439.96</v>
      </c>
      <c r="N18" s="68">
        <f>'[1]FC PP Plant and AD'!J14</f>
        <v>432439.96</v>
      </c>
      <c r="O18" s="68">
        <f>'[1]FC PP Plant and AD'!K14</f>
        <v>432439.96</v>
      </c>
      <c r="P18" s="68">
        <f>'[1]FC PP Plant and AD'!L14</f>
        <v>432439.96</v>
      </c>
      <c r="Q18" s="68">
        <f>'[1]FC PP Plant and AD'!M14</f>
        <v>432439.96</v>
      </c>
      <c r="R18" s="68">
        <f>'[1]FC PP Plant and AD'!N14</f>
        <v>432439.96</v>
      </c>
      <c r="S18" s="68">
        <f>'[1]FC PP Plant and AD'!O14</f>
        <v>432439.96</v>
      </c>
      <c r="T18" s="73">
        <f t="shared" si="2"/>
        <v>432439.96</v>
      </c>
      <c r="U18" s="68"/>
      <c r="V18" s="68"/>
      <c r="W18" s="68"/>
      <c r="X18" s="68"/>
      <c r="Y18" s="68"/>
      <c r="Z18" s="68"/>
    </row>
    <row r="19" spans="2:26" x14ac:dyDescent="0.25">
      <c r="C19" t="s">
        <v>390</v>
      </c>
      <c r="D19" s="13" t="s">
        <v>54</v>
      </c>
      <c r="E19" t="s">
        <v>385</v>
      </c>
      <c r="G19" s="68">
        <f>'[1]FC PP Plant and AD'!C15</f>
        <v>856175.07000000007</v>
      </c>
      <c r="H19" s="68">
        <f>'[1]FC PP Plant and AD'!D15</f>
        <v>864260.97000000009</v>
      </c>
      <c r="I19" s="68">
        <f>'[1]FC PP Plant and AD'!E15</f>
        <v>864260.97000000009</v>
      </c>
      <c r="J19" s="68">
        <f>'[1]FC PP Plant and AD'!F15</f>
        <v>864260.97000000009</v>
      </c>
      <c r="K19" s="68">
        <f>'[1]FC PP Plant and AD'!G15</f>
        <v>864260.97000000009</v>
      </c>
      <c r="L19" s="68">
        <f>'[1]FC PP Plant and AD'!H15</f>
        <v>864260.97000000009</v>
      </c>
      <c r="M19" s="68">
        <f>'[1]FC PP Plant and AD'!I15</f>
        <v>892460.5</v>
      </c>
      <c r="N19" s="68">
        <f>'[1]FC PP Plant and AD'!J15</f>
        <v>908227.98</v>
      </c>
      <c r="O19" s="68">
        <f>'[1]FC PP Plant and AD'!K15</f>
        <v>917653.1</v>
      </c>
      <c r="P19" s="68">
        <f>'[1]FC PP Plant and AD'!L15</f>
        <v>917653.1</v>
      </c>
      <c r="Q19" s="68">
        <f>'[1]FC PP Plant and AD'!M15</f>
        <v>927709.92</v>
      </c>
      <c r="R19" s="68">
        <f>'[1]FC PP Plant and AD'!N15</f>
        <v>932207.7</v>
      </c>
      <c r="S19" s="68">
        <f>'[1]FC PP Plant and AD'!O15</f>
        <v>936225.38</v>
      </c>
      <c r="T19" s="73">
        <f t="shared" si="2"/>
        <v>893047.5076923077</v>
      </c>
      <c r="U19" s="68"/>
      <c r="V19" s="68"/>
      <c r="W19" s="68"/>
      <c r="X19" s="68"/>
      <c r="Y19" s="68"/>
      <c r="Z19" s="68"/>
    </row>
    <row r="20" spans="2:26" x14ac:dyDescent="0.25">
      <c r="C20" t="s">
        <v>391</v>
      </c>
      <c r="D20" s="13" t="s">
        <v>56</v>
      </c>
      <c r="E20" t="s">
        <v>385</v>
      </c>
      <c r="G20" s="68">
        <f>'[1]FC PP Plant and AD'!C16</f>
        <v>258116.52</v>
      </c>
      <c r="H20" s="68">
        <f>'[1]FC PP Plant and AD'!D16</f>
        <v>258116.52</v>
      </c>
      <c r="I20" s="68">
        <f>'[1]FC PP Plant and AD'!E16</f>
        <v>258116.52</v>
      </c>
      <c r="J20" s="68">
        <f>'[1]FC PP Plant and AD'!F16</f>
        <v>258116.52</v>
      </c>
      <c r="K20" s="68">
        <f>'[1]FC PP Plant and AD'!G16</f>
        <v>258116.52</v>
      </c>
      <c r="L20" s="68">
        <f>'[1]FC PP Plant and AD'!H16</f>
        <v>258116.52</v>
      </c>
      <c r="M20" s="68">
        <f>'[1]FC PP Plant and AD'!I16</f>
        <v>258116.52</v>
      </c>
      <c r="N20" s="68">
        <f>'[1]FC PP Plant and AD'!J16</f>
        <v>258116.52</v>
      </c>
      <c r="O20" s="68">
        <f>'[1]FC PP Plant and AD'!K16</f>
        <v>258116.52</v>
      </c>
      <c r="P20" s="68">
        <f>'[1]FC PP Plant and AD'!L16</f>
        <v>258116.52</v>
      </c>
      <c r="Q20" s="68">
        <f>'[1]FC PP Plant and AD'!M16</f>
        <v>258116.52</v>
      </c>
      <c r="R20" s="68">
        <f>'[1]FC PP Plant and AD'!N16</f>
        <v>258116.52</v>
      </c>
      <c r="S20" s="68">
        <f>'[1]FC PP Plant and AD'!O16</f>
        <v>258116.52000000002</v>
      </c>
      <c r="T20" s="73">
        <f t="shared" si="2"/>
        <v>258116.52</v>
      </c>
      <c r="U20" s="68"/>
      <c r="V20" s="68"/>
      <c r="W20" s="68"/>
      <c r="X20" s="68"/>
      <c r="Y20" s="68"/>
      <c r="Z20" s="68"/>
    </row>
    <row r="21" spans="2:26" x14ac:dyDescent="0.25">
      <c r="C21" t="s">
        <v>392</v>
      </c>
      <c r="D21" s="13" t="s">
        <v>58</v>
      </c>
      <c r="E21" t="s">
        <v>385</v>
      </c>
      <c r="G21" s="68">
        <f>'[1]FC PP Plant and AD'!C17</f>
        <v>763765.58</v>
      </c>
      <c r="H21" s="68">
        <f>'[1]FC PP Plant and AD'!D17</f>
        <v>763765.58</v>
      </c>
      <c r="I21" s="68">
        <f>'[1]FC PP Plant and AD'!E17</f>
        <v>763765.58</v>
      </c>
      <c r="J21" s="68">
        <f>'[1]FC PP Plant and AD'!F17</f>
        <v>763765.58</v>
      </c>
      <c r="K21" s="68">
        <f>'[1]FC PP Plant and AD'!G17</f>
        <v>763765.58</v>
      </c>
      <c r="L21" s="68">
        <f>'[1]FC PP Plant and AD'!H17</f>
        <v>763765.58</v>
      </c>
      <c r="M21" s="68">
        <f>'[1]FC PP Plant and AD'!I17</f>
        <v>763765.58</v>
      </c>
      <c r="N21" s="68">
        <f>'[1]FC PP Plant and AD'!J17</f>
        <v>763765.58</v>
      </c>
      <c r="O21" s="68">
        <f>'[1]FC PP Plant and AD'!K17</f>
        <v>763765.58</v>
      </c>
      <c r="P21" s="68">
        <f>'[1]FC PP Plant and AD'!L17</f>
        <v>763765.58</v>
      </c>
      <c r="Q21" s="68">
        <f>'[1]FC PP Plant and AD'!M17</f>
        <v>763765.58</v>
      </c>
      <c r="R21" s="68">
        <f>'[1]FC PP Plant and AD'!N17</f>
        <v>763765.58</v>
      </c>
      <c r="S21" s="68">
        <f>'[1]FC PP Plant and AD'!O17</f>
        <v>763765.58</v>
      </c>
      <c r="T21" s="73">
        <f t="shared" si="2"/>
        <v>763765.58</v>
      </c>
      <c r="U21" s="68"/>
      <c r="V21" s="68"/>
      <c r="W21" s="68"/>
      <c r="X21" s="68"/>
      <c r="Y21" s="68"/>
      <c r="Z21" s="68"/>
    </row>
    <row r="22" spans="2:26" x14ac:dyDescent="0.25">
      <c r="C22" t="s">
        <v>59</v>
      </c>
      <c r="D22" s="13" t="s">
        <v>60</v>
      </c>
      <c r="E22" t="s">
        <v>385</v>
      </c>
      <c r="G22" s="68">
        <f>'[1]FC PP Plant and AD'!C20</f>
        <v>640740.72</v>
      </c>
      <c r="H22" s="68">
        <f>'[1]FC PP Plant and AD'!D20</f>
        <v>640740.72</v>
      </c>
      <c r="I22" s="68">
        <f>'[1]FC PP Plant and AD'!E20</f>
        <v>640740.72</v>
      </c>
      <c r="J22" s="68">
        <f>'[1]FC PP Plant and AD'!F20</f>
        <v>640740.72</v>
      </c>
      <c r="K22" s="68">
        <f>'[1]FC PP Plant and AD'!G20</f>
        <v>640740.72</v>
      </c>
      <c r="L22" s="68">
        <f>'[1]FC PP Plant and AD'!H20</f>
        <v>640740.72</v>
      </c>
      <c r="M22" s="68">
        <f>'[1]FC PP Plant and AD'!I20</f>
        <v>640740.72</v>
      </c>
      <c r="N22" s="68">
        <f>'[1]FC PP Plant and AD'!J20</f>
        <v>640740.72</v>
      </c>
      <c r="O22" s="68">
        <f>'[1]FC PP Plant and AD'!K20</f>
        <v>640740.72</v>
      </c>
      <c r="P22" s="68">
        <f>'[1]FC PP Plant and AD'!L20</f>
        <v>640740.72</v>
      </c>
      <c r="Q22" s="68">
        <f>'[1]FC PP Plant and AD'!M20</f>
        <v>640740.72</v>
      </c>
      <c r="R22" s="68">
        <f>'[1]FC PP Plant and AD'!N20</f>
        <v>640740.72</v>
      </c>
      <c r="S22" s="68">
        <f>'[1]FC PP Plant and AD'!O20</f>
        <v>640740.72</v>
      </c>
      <c r="T22" s="73">
        <f t="shared" si="2"/>
        <v>640740.71999999986</v>
      </c>
      <c r="U22" s="68"/>
      <c r="V22" s="68"/>
      <c r="W22" s="68"/>
      <c r="X22" s="68"/>
      <c r="Y22" s="68"/>
      <c r="Z22" s="68"/>
    </row>
    <row r="23" spans="2:26" x14ac:dyDescent="0.25">
      <c r="C23" t="s">
        <v>61</v>
      </c>
      <c r="D23" s="13" t="s">
        <v>62</v>
      </c>
      <c r="E23" t="s">
        <v>385</v>
      </c>
      <c r="G23" s="68">
        <f>'[1]FC PP Plant and AD'!C21</f>
        <v>32922.449999999997</v>
      </c>
      <c r="H23" s="68">
        <f>'[1]FC PP Plant and AD'!D21</f>
        <v>32922.449999999997</v>
      </c>
      <c r="I23" s="68">
        <f>'[1]FC PP Plant and AD'!E21</f>
        <v>32922.449999999997</v>
      </c>
      <c r="J23" s="68">
        <f>'[1]FC PP Plant and AD'!F21</f>
        <v>32922.449999999997</v>
      </c>
      <c r="K23" s="68">
        <f>'[1]FC PP Plant and AD'!G21</f>
        <v>32922.449999999997</v>
      </c>
      <c r="L23" s="68">
        <f>'[1]FC PP Plant and AD'!H21</f>
        <v>32922.449999999997</v>
      </c>
      <c r="M23" s="68">
        <f>'[1]FC PP Plant and AD'!I21</f>
        <v>32922.449999999997</v>
      </c>
      <c r="N23" s="68">
        <f>'[1]FC PP Plant and AD'!J21</f>
        <v>32922.449999999997</v>
      </c>
      <c r="O23" s="68">
        <f>'[1]FC PP Plant and AD'!K21</f>
        <v>32922.449999999997</v>
      </c>
      <c r="P23" s="68">
        <f>'[1]FC PP Plant and AD'!L21</f>
        <v>32922.449999999997</v>
      </c>
      <c r="Q23" s="68">
        <f>'[1]FC PP Plant and AD'!M21</f>
        <v>32922.449999999997</v>
      </c>
      <c r="R23" s="68">
        <f>'[1]FC PP Plant and AD'!N21</f>
        <v>32922.449999999997</v>
      </c>
      <c r="S23" s="68">
        <f>'[1]FC PP Plant and AD'!O21</f>
        <v>32922.449999999997</v>
      </c>
      <c r="T23" s="73">
        <f t="shared" si="2"/>
        <v>32922.450000000004</v>
      </c>
      <c r="U23" s="68"/>
      <c r="V23" s="68"/>
      <c r="W23" s="68"/>
      <c r="X23" s="68"/>
      <c r="Y23" s="68"/>
      <c r="Z23" s="68"/>
    </row>
    <row r="24" spans="2:26" x14ac:dyDescent="0.25">
      <c r="C24" t="s">
        <v>393</v>
      </c>
      <c r="D24" s="13" t="s">
        <v>64</v>
      </c>
      <c r="E24" t="s">
        <v>385</v>
      </c>
      <c r="G24" s="68"/>
      <c r="H24" s="68"/>
      <c r="I24" s="68"/>
      <c r="J24" s="68"/>
      <c r="K24" s="68"/>
      <c r="L24" s="68">
        <f>'[1]FC with allocations'!H27</f>
        <v>0</v>
      </c>
      <c r="M24" s="68">
        <f>'[1]FC with allocations'!I27</f>
        <v>0</v>
      </c>
      <c r="N24" s="68">
        <f>'[1]FC with allocations'!J27</f>
        <v>0</v>
      </c>
      <c r="O24" s="68">
        <f>'[1]FC with allocations'!K27</f>
        <v>0</v>
      </c>
      <c r="P24" s="68">
        <f>'[1]FC with allocations'!L27</f>
        <v>0</v>
      </c>
      <c r="Q24" s="68">
        <f>'[1]FC with allocations'!M27</f>
        <v>0</v>
      </c>
      <c r="R24" s="68">
        <f>'[1]FC with allocations'!N27</f>
        <v>0</v>
      </c>
      <c r="S24" s="68">
        <f>'[1]FC with allocations'!O27</f>
        <v>0</v>
      </c>
      <c r="T24" s="74">
        <f t="shared" si="2"/>
        <v>0</v>
      </c>
      <c r="U24" s="68"/>
      <c r="V24" s="68"/>
      <c r="W24" s="68"/>
      <c r="X24" s="68"/>
      <c r="Y24" s="68"/>
      <c r="Z24" s="68"/>
    </row>
    <row r="25" spans="2:26" x14ac:dyDescent="0.25">
      <c r="C25" t="s">
        <v>394</v>
      </c>
      <c r="D25" s="13" t="s">
        <v>395</v>
      </c>
      <c r="E25" t="s">
        <v>385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75">
        <f t="shared" si="2"/>
        <v>0</v>
      </c>
      <c r="U25" s="68"/>
      <c r="V25" s="68"/>
      <c r="W25" s="68"/>
      <c r="X25" s="68"/>
      <c r="Y25" s="68"/>
      <c r="Z25" s="68"/>
    </row>
    <row r="26" spans="2:26" x14ac:dyDescent="0.25">
      <c r="G26" s="76">
        <f t="shared" ref="G26:T26" si="3">SUM(G13:G25)</f>
        <v>12225294.740000002</v>
      </c>
      <c r="H26" s="76">
        <f t="shared" si="3"/>
        <v>12235232.370000003</v>
      </c>
      <c r="I26" s="76">
        <f t="shared" si="3"/>
        <v>12243460.900000002</v>
      </c>
      <c r="J26" s="76">
        <f t="shared" si="3"/>
        <v>12244862.630000001</v>
      </c>
      <c r="K26" s="76">
        <f t="shared" si="3"/>
        <v>12190511.760000002</v>
      </c>
      <c r="L26" s="76">
        <f t="shared" si="3"/>
        <v>12192096.920000002</v>
      </c>
      <c r="M26" s="76">
        <f t="shared" si="3"/>
        <v>12201736.4</v>
      </c>
      <c r="N26" s="76">
        <f t="shared" si="3"/>
        <v>12217503.880000001</v>
      </c>
      <c r="O26" s="76">
        <f t="shared" si="3"/>
        <v>12226929</v>
      </c>
      <c r="P26" s="76">
        <f t="shared" si="3"/>
        <v>12194754.07</v>
      </c>
      <c r="Q26" s="76">
        <f t="shared" si="3"/>
        <v>12204810.890000001</v>
      </c>
      <c r="R26" s="76">
        <f t="shared" si="3"/>
        <v>12209308.67</v>
      </c>
      <c r="S26" s="76">
        <f t="shared" si="3"/>
        <v>12191004.950000001</v>
      </c>
      <c r="T26" s="76">
        <f t="shared" si="3"/>
        <v>12213654.398461537</v>
      </c>
      <c r="U26" s="68"/>
      <c r="V26" s="68"/>
      <c r="W26" s="68"/>
      <c r="X26" s="68"/>
      <c r="Y26" s="68"/>
      <c r="Z26" s="68"/>
    </row>
    <row r="27" spans="2:26" x14ac:dyDescent="0.25"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2:26" x14ac:dyDescent="0.25"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73"/>
      <c r="R28" s="73"/>
      <c r="S28" s="73"/>
      <c r="T28" s="73"/>
      <c r="U28" s="68"/>
      <c r="V28" s="68"/>
      <c r="W28" s="68"/>
      <c r="X28" s="68"/>
      <c r="Y28" s="68"/>
      <c r="Z28" s="68"/>
    </row>
    <row r="29" spans="2:26" x14ac:dyDescent="0.25">
      <c r="G29" s="77">
        <f>'[1]FC with allocations'!C30+'[1]FC with allocations'!C35</f>
        <v>12225295</v>
      </c>
      <c r="H29" s="77">
        <f>'[1]FC with allocations'!D30+'[1]FC with allocations'!D35</f>
        <v>12235232</v>
      </c>
      <c r="I29" s="77">
        <f>'[1]FC with allocations'!E30+'[1]FC with allocations'!E35</f>
        <v>12243461</v>
      </c>
      <c r="J29" s="77">
        <f>'[1]FC with allocations'!F30+'[1]FC with allocations'!F35</f>
        <v>12244863</v>
      </c>
      <c r="K29" s="77">
        <f>'[1]FC with allocations'!G30+'[1]FC with allocations'!G35</f>
        <v>12193930</v>
      </c>
      <c r="L29" s="77">
        <f>'[1]FC with allocations'!H30+'[1]FC with allocations'!H35</f>
        <v>12195515</v>
      </c>
      <c r="M29" s="77">
        <f>'[1]FC with allocations'!I30+'[1]FC with allocations'!I35</f>
        <v>12201736</v>
      </c>
      <c r="N29" s="77">
        <f>'[1]FC with allocations'!J30+'[1]FC with allocations'!J35</f>
        <v>12217504</v>
      </c>
      <c r="O29" s="77">
        <f>'[1]FC with allocations'!K30+'[1]FC with allocations'!K35</f>
        <v>12226929</v>
      </c>
      <c r="P29" s="77">
        <f>'[1]FC with allocations'!L30+'[1]FC with allocations'!L35</f>
        <v>12196118</v>
      </c>
      <c r="Q29" s="77">
        <f>'[1]FC with allocations'!M30+'[1]FC with allocations'!M35</f>
        <v>12204811</v>
      </c>
      <c r="R29" s="77">
        <f>'[1]FC with allocations'!N30+'[1]FC with allocations'!N35</f>
        <v>12209309</v>
      </c>
      <c r="S29" s="77">
        <f>'[1]FC with allocations'!O30+'[1]FC with allocations'!O35</f>
        <v>12191005</v>
      </c>
      <c r="T29" s="75">
        <f>SUM(G29:S29)/13</f>
        <v>12214285.23076923</v>
      </c>
      <c r="U29" s="68"/>
      <c r="V29" s="68"/>
      <c r="W29" s="68"/>
      <c r="X29" s="68"/>
      <c r="Y29" s="68"/>
      <c r="Z29" s="68"/>
    </row>
    <row r="30" spans="2:26" x14ac:dyDescent="0.25">
      <c r="G30" s="68">
        <f>G29-G26-G10</f>
        <v>0.25999999791383743</v>
      </c>
      <c r="H30" s="68">
        <f t="shared" ref="H30:T30" si="4">H29-H26-H10</f>
        <v>-0.37000000290572643</v>
      </c>
      <c r="I30" s="68">
        <f t="shared" si="4"/>
        <v>9.9999997764825821E-2</v>
      </c>
      <c r="J30" s="68">
        <f t="shared" si="4"/>
        <v>0.36999999918043613</v>
      </c>
      <c r="K30" s="68">
        <f t="shared" si="4"/>
        <v>0.23999999836087227</v>
      </c>
      <c r="L30" s="68">
        <f t="shared" si="4"/>
        <v>7.9999998211860657E-2</v>
      </c>
      <c r="M30" s="68">
        <f t="shared" si="4"/>
        <v>-0.40000000037252903</v>
      </c>
      <c r="N30" s="68">
        <f t="shared" si="4"/>
        <v>0.11999999918043613</v>
      </c>
      <c r="O30" s="68">
        <f t="shared" si="4"/>
        <v>0</v>
      </c>
      <c r="P30" s="68">
        <f t="shared" si="4"/>
        <v>-7.0000000298023224E-2</v>
      </c>
      <c r="Q30" s="68">
        <f t="shared" si="4"/>
        <v>0.10999999940395355</v>
      </c>
      <c r="R30" s="68">
        <f t="shared" si="4"/>
        <v>0.33000000007450581</v>
      </c>
      <c r="S30" s="68">
        <f t="shared" si="4"/>
        <v>4.999999888241291E-2</v>
      </c>
      <c r="T30" s="68">
        <f t="shared" si="4"/>
        <v>6.3076923386461203E-2</v>
      </c>
      <c r="U30" s="68"/>
      <c r="V30" s="68"/>
      <c r="W30" s="68"/>
      <c r="X30" s="68"/>
      <c r="Y30" s="68"/>
      <c r="Z30" s="68"/>
    </row>
    <row r="31" spans="2:26" x14ac:dyDescent="0.25">
      <c r="B31" t="s">
        <v>396</v>
      </c>
      <c r="C31" s="67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3"/>
      <c r="U31" s="68"/>
      <c r="V31" s="68"/>
      <c r="W31" s="68"/>
      <c r="X31" s="68"/>
      <c r="Y31" s="68"/>
      <c r="Z31" s="68"/>
    </row>
    <row r="32" spans="2:26" x14ac:dyDescent="0.25"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73"/>
      <c r="R32" s="73"/>
      <c r="S32" s="73"/>
      <c r="T32" s="73"/>
      <c r="U32" s="68"/>
      <c r="V32" s="68"/>
      <c r="W32" s="68"/>
      <c r="X32" s="68"/>
      <c r="Y32" s="68"/>
      <c r="Z32" s="68"/>
    </row>
    <row r="33" spans="3:26" x14ac:dyDescent="0.25"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73"/>
      <c r="R33" s="73"/>
      <c r="S33" s="73"/>
      <c r="T33" s="73"/>
      <c r="U33" s="68"/>
      <c r="V33" s="68"/>
      <c r="W33" s="68"/>
      <c r="X33" s="68"/>
      <c r="Y33" s="68"/>
      <c r="Z33" s="68"/>
    </row>
    <row r="34" spans="3:26" x14ac:dyDescent="0.25">
      <c r="C34" s="67" t="s">
        <v>397</v>
      </c>
      <c r="D34" s="13">
        <v>10801080</v>
      </c>
      <c r="E34" t="s">
        <v>398</v>
      </c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73">
        <f t="shared" ref="T34" si="5">SUM(G34:S34)/13</f>
        <v>0</v>
      </c>
      <c r="U34" s="68"/>
      <c r="V34" s="68"/>
      <c r="W34" s="68"/>
      <c r="X34" s="68"/>
      <c r="Y34" s="68"/>
      <c r="Z34" s="68"/>
    </row>
    <row r="35" spans="3:26" x14ac:dyDescent="0.25">
      <c r="C35" t="s">
        <v>399</v>
      </c>
      <c r="D35" s="13" t="s">
        <v>76</v>
      </c>
      <c r="E35" t="s">
        <v>385</v>
      </c>
      <c r="G35" s="68">
        <f>'[1]FC PP Plant and AD'!C31</f>
        <v>-240635.84000000003</v>
      </c>
      <c r="H35" s="68">
        <f>'[1]FC PP Plant and AD'!D31</f>
        <v>-255489.71000000002</v>
      </c>
      <c r="I35" s="68">
        <f>'[1]FC PP Plant and AD'!E31</f>
        <v>-270347.13</v>
      </c>
      <c r="J35" s="68">
        <f>'[1]FC PP Plant and AD'!F31</f>
        <v>-285220.32</v>
      </c>
      <c r="K35" s="68">
        <f>'[1]FC PP Plant and AD'!G31</f>
        <v>-300103.25</v>
      </c>
      <c r="L35" s="68">
        <f>'[1]FC PP Plant and AD'!H31</f>
        <v>-314989.03000000003</v>
      </c>
      <c r="M35" s="68">
        <f>'[1]FC PP Plant and AD'!I31</f>
        <v>-329877.85000000003</v>
      </c>
      <c r="N35" s="68">
        <f>'[1]FC PP Plant and AD'!J31</f>
        <v>-344724.54000000004</v>
      </c>
      <c r="O35" s="68">
        <f>'[1]FC PP Plant and AD'!K31</f>
        <v>-359571.23000000004</v>
      </c>
      <c r="P35" s="68">
        <f>'[1]FC PP Plant and AD'!L31</f>
        <v>-374417.91999999998</v>
      </c>
      <c r="Q35" s="68">
        <f>'[1]FC PP Plant and AD'!M31</f>
        <v>-389264.61</v>
      </c>
      <c r="R35" s="68">
        <f>'[1]FC PP Plant and AD'!N31</f>
        <v>-404111.3</v>
      </c>
      <c r="S35" s="68">
        <f>'[1]FC PP Plant and AD'!O31</f>
        <v>-420142.72</v>
      </c>
      <c r="T35" s="73">
        <f t="shared" ref="T35:T44" si="6">SUM(G35:S35)/13</f>
        <v>-329915.03461538453</v>
      </c>
      <c r="U35" s="68"/>
      <c r="V35" s="68"/>
      <c r="W35" s="68"/>
      <c r="X35" s="68"/>
      <c r="Y35" s="68"/>
      <c r="Z35" s="68"/>
    </row>
    <row r="36" spans="3:26" x14ac:dyDescent="0.25">
      <c r="C36" t="s">
        <v>400</v>
      </c>
      <c r="D36" s="13" t="s">
        <v>77</v>
      </c>
      <c r="E36" t="s">
        <v>385</v>
      </c>
      <c r="G36" s="68">
        <f>'[1]FC PP Plant and AD'!C32</f>
        <v>-394865.56000000011</v>
      </c>
      <c r="H36" s="68">
        <f>'[1]FC PP Plant and AD'!D32</f>
        <v>-413890.32000000012</v>
      </c>
      <c r="I36" s="68">
        <f>'[1]FC PP Plant and AD'!E32</f>
        <v>-432915.08000000013</v>
      </c>
      <c r="J36" s="68">
        <f>'[1]FC PP Plant and AD'!F32</f>
        <v>-451939.84000000014</v>
      </c>
      <c r="K36" s="68">
        <f>'[1]FC PP Plant and AD'!G32</f>
        <v>-470964.60000000015</v>
      </c>
      <c r="L36" s="68">
        <f>'[1]FC PP Plant and AD'!H32</f>
        <v>-489989.36000000016</v>
      </c>
      <c r="M36" s="68">
        <f>'[1]FC PP Plant and AD'!I32</f>
        <v>-509014.12000000017</v>
      </c>
      <c r="N36" s="68">
        <f>'[1]FC PP Plant and AD'!J32</f>
        <v>-528059.2200000002</v>
      </c>
      <c r="O36" s="68">
        <f>'[1]FC PP Plant and AD'!K32</f>
        <v>-547104.32000000018</v>
      </c>
      <c r="P36" s="68">
        <f>'[1]FC PP Plant and AD'!L32</f>
        <v>-566149.42000000004</v>
      </c>
      <c r="Q36" s="68">
        <f>'[1]FC PP Plant and AD'!M32</f>
        <v>-585194.52</v>
      </c>
      <c r="R36" s="68">
        <f>'[1]FC PP Plant and AD'!N32</f>
        <v>-604239.62</v>
      </c>
      <c r="S36" s="68">
        <f>'[1]FC PP Plant and AD'!O32</f>
        <v>-30015.37999999999</v>
      </c>
      <c r="T36" s="73">
        <f t="shared" si="6"/>
        <v>-463410.87384615396</v>
      </c>
      <c r="U36" s="68"/>
      <c r="V36" s="68"/>
      <c r="W36" s="68"/>
      <c r="X36" s="68"/>
      <c r="Y36" s="68"/>
      <c r="Z36" s="68"/>
    </row>
    <row r="37" spans="3:26" x14ac:dyDescent="0.25">
      <c r="C37" t="s">
        <v>401</v>
      </c>
      <c r="D37" s="13">
        <v>10803912</v>
      </c>
      <c r="E37" t="s">
        <v>383</v>
      </c>
      <c r="G37" s="68">
        <f>'[1]FC PP Plant and AD'!C33</f>
        <v>393600.4700000002</v>
      </c>
      <c r="H37" s="68">
        <f>'[1]FC PP Plant and AD'!D33</f>
        <v>394656.75000000023</v>
      </c>
      <c r="I37" s="68">
        <f>'[1]FC PP Plant and AD'!E33</f>
        <v>395713.03000000026</v>
      </c>
      <c r="J37" s="68">
        <f>'[1]FC PP Plant and AD'!F33</f>
        <v>400451.54000000027</v>
      </c>
      <c r="K37" s="68">
        <f>'[1]FC PP Plant and AD'!G33</f>
        <v>457374.30000000028</v>
      </c>
      <c r="L37" s="68">
        <f>'[1]FC PP Plant and AD'!H33</f>
        <v>458926.56000000029</v>
      </c>
      <c r="M37" s="68">
        <f>'[1]FC PP Plant and AD'!I33</f>
        <v>460478.8200000003</v>
      </c>
      <c r="N37" s="68">
        <f>'[1]FC PP Plant and AD'!J33</f>
        <v>462031.08000000031</v>
      </c>
      <c r="O37" s="68">
        <f>'[1]FC PP Plant and AD'!K33</f>
        <v>463583.34000000032</v>
      </c>
      <c r="P37" s="68">
        <f>'[1]FC PP Plant and AD'!L33</f>
        <v>497310.53</v>
      </c>
      <c r="Q37" s="68">
        <f>'[1]FC PP Plant and AD'!M33</f>
        <v>499130.91</v>
      </c>
      <c r="R37" s="68">
        <f>'[1]FC PP Plant and AD'!N33</f>
        <v>500951.29</v>
      </c>
      <c r="S37" s="68">
        <f>'[1]FC PP Plant and AD'!O33</f>
        <v>-100219.34</v>
      </c>
      <c r="T37" s="73">
        <f t="shared" si="6"/>
        <v>406460.71384615399</v>
      </c>
      <c r="U37" s="68"/>
      <c r="V37" s="68"/>
      <c r="W37" s="68"/>
      <c r="X37" s="68"/>
      <c r="Y37" s="68"/>
      <c r="Z37" s="68"/>
    </row>
    <row r="38" spans="3:26" x14ac:dyDescent="0.25">
      <c r="C38" t="s">
        <v>402</v>
      </c>
      <c r="D38" s="13">
        <v>10803913</v>
      </c>
      <c r="E38" t="s">
        <v>385</v>
      </c>
      <c r="G38" s="68">
        <f>'[1]FC PP Plant and AD'!C34</f>
        <v>153800.21000000005</v>
      </c>
      <c r="H38" s="68">
        <f>'[1]FC PP Plant and AD'!D34</f>
        <v>151484.80000000005</v>
      </c>
      <c r="I38" s="68">
        <f>'[1]FC PP Plant and AD'!E34</f>
        <v>149169.39000000004</v>
      </c>
      <c r="J38" s="68">
        <f>'[1]FC PP Plant and AD'!F34</f>
        <v>146853.98000000004</v>
      </c>
      <c r="K38" s="68">
        <f>'[1]FC PP Plant and AD'!G34</f>
        <v>144538.57000000004</v>
      </c>
      <c r="L38" s="68">
        <f>'[1]FC PP Plant and AD'!H34</f>
        <v>142223.16000000003</v>
      </c>
      <c r="M38" s="68">
        <f>'[1]FC PP Plant and AD'!I34</f>
        <v>139907.75000000003</v>
      </c>
      <c r="N38" s="68">
        <f>'[1]FC PP Plant and AD'!J34</f>
        <v>137592.34000000003</v>
      </c>
      <c r="O38" s="68">
        <f>'[1]FC PP Plant and AD'!K34</f>
        <v>135276.93000000002</v>
      </c>
      <c r="P38" s="68">
        <f>'[1]FC PP Plant and AD'!L34</f>
        <v>132961.51999999999</v>
      </c>
      <c r="Q38" s="68">
        <f>'[1]FC PP Plant and AD'!M34</f>
        <v>130646.11</v>
      </c>
      <c r="R38" s="68">
        <f>'[1]FC PP Plant and AD'!N34</f>
        <v>128330.7</v>
      </c>
      <c r="S38" s="68">
        <f>'[1]FC PP Plant and AD'!O34</f>
        <v>240146.58000000002</v>
      </c>
      <c r="T38" s="73">
        <f t="shared" si="6"/>
        <v>148687.08000000002</v>
      </c>
      <c r="U38" s="68"/>
      <c r="V38" s="68"/>
      <c r="W38" s="68"/>
      <c r="X38" s="68"/>
      <c r="Y38" s="68"/>
      <c r="Z38" s="68"/>
    </row>
    <row r="39" spans="3:26" x14ac:dyDescent="0.25">
      <c r="C39" t="s">
        <v>403</v>
      </c>
      <c r="D39" s="13" t="s">
        <v>80</v>
      </c>
      <c r="E39" t="s">
        <v>385</v>
      </c>
      <c r="G39" s="68">
        <f>'[1]FC PP Plant and AD'!C35</f>
        <v>-25434.540000000052</v>
      </c>
      <c r="H39" s="68">
        <f>'[1]FC PP Plant and AD'!D35</f>
        <v>-22596.080000000053</v>
      </c>
      <c r="I39" s="68">
        <f>'[1]FC PP Plant and AD'!E35</f>
        <v>-19825.000000000051</v>
      </c>
      <c r="J39" s="68">
        <f>'[1]FC PP Plant and AD'!F35</f>
        <v>-17053.920000000049</v>
      </c>
      <c r="K39" s="68">
        <f>'[1]FC PP Plant and AD'!G35</f>
        <v>-14282.840000000049</v>
      </c>
      <c r="L39" s="68">
        <f>'[1]FC PP Plant and AD'!H35</f>
        <v>-11511.760000000049</v>
      </c>
      <c r="M39" s="68">
        <f>'[1]FC PP Plant and AD'!I35</f>
        <v>-8740.6800000000494</v>
      </c>
      <c r="N39" s="68">
        <f>'[1]FC PP Plant and AD'!J35</f>
        <v>-6204.6000000000495</v>
      </c>
      <c r="O39" s="68">
        <f>'[1]FC PP Plant and AD'!K35</f>
        <v>-3799.9200000000492</v>
      </c>
      <c r="P39" s="68">
        <f>'[1]FC PP Plant and AD'!L35</f>
        <v>-1473.78</v>
      </c>
      <c r="Q39" s="68">
        <f>'[1]FC PP Plant and AD'!M35</f>
        <v>852.36</v>
      </c>
      <c r="R39" s="68">
        <f>'[1]FC PP Plant and AD'!N35</f>
        <v>3094.69</v>
      </c>
      <c r="S39" s="68">
        <f>'[1]FC PP Plant and AD'!O35</f>
        <v>9031.5400000000009</v>
      </c>
      <c r="T39" s="73">
        <f t="shared" si="6"/>
        <v>-9072.6561538461901</v>
      </c>
      <c r="U39" s="68"/>
      <c r="V39" s="68"/>
      <c r="W39" s="68"/>
      <c r="X39" s="68"/>
      <c r="Y39" s="68"/>
      <c r="Z39" s="68"/>
    </row>
    <row r="40" spans="3:26" x14ac:dyDescent="0.25">
      <c r="C40" t="s">
        <v>404</v>
      </c>
      <c r="D40" s="13" t="s">
        <v>81</v>
      </c>
      <c r="E40" t="s">
        <v>385</v>
      </c>
      <c r="G40" s="68">
        <f>'[1]FC PP Plant and AD'!C36</f>
        <v>-110913.55000000002</v>
      </c>
      <c r="H40" s="68">
        <f>'[1]FC PP Plant and AD'!D36</f>
        <v>-114656.24000000002</v>
      </c>
      <c r="I40" s="68">
        <f>'[1]FC PP Plant and AD'!E36</f>
        <v>-118398.93000000002</v>
      </c>
      <c r="J40" s="68">
        <f>'[1]FC PP Plant and AD'!F36</f>
        <v>-122141.62000000002</v>
      </c>
      <c r="K40" s="68">
        <f>'[1]FC PP Plant and AD'!G36</f>
        <v>-125884.31000000003</v>
      </c>
      <c r="L40" s="68">
        <f>'[1]FC PP Plant and AD'!H36</f>
        <v>-129627.00000000003</v>
      </c>
      <c r="M40" s="68">
        <f>'[1]FC PP Plant and AD'!I36</f>
        <v>-133369.69000000003</v>
      </c>
      <c r="N40" s="68">
        <f>'[1]FC PP Plant and AD'!J36</f>
        <v>-137112.38000000003</v>
      </c>
      <c r="O40" s="68">
        <f>'[1]FC PP Plant and AD'!K36</f>
        <v>-140855.07000000004</v>
      </c>
      <c r="P40" s="68">
        <f>'[1]FC PP Plant and AD'!L36</f>
        <v>-144597.76000000001</v>
      </c>
      <c r="Q40" s="68">
        <f>'[1]FC PP Plant and AD'!M36</f>
        <v>-148340.45000000001</v>
      </c>
      <c r="R40" s="68">
        <f>'[1]FC PP Plant and AD'!N36</f>
        <v>-152083.14000000001</v>
      </c>
      <c r="S40" s="68">
        <f>'[1]FC PP Plant and AD'!O36</f>
        <v>-155825.82999999999</v>
      </c>
      <c r="T40" s="73">
        <f t="shared" si="6"/>
        <v>-133369.69</v>
      </c>
      <c r="U40" s="68"/>
      <c r="V40" s="68"/>
      <c r="W40" s="68"/>
      <c r="X40" s="68"/>
      <c r="Y40" s="68"/>
      <c r="Z40" s="68"/>
    </row>
    <row r="41" spans="3:26" x14ac:dyDescent="0.25">
      <c r="C41" t="s">
        <v>405</v>
      </c>
      <c r="D41" s="13" t="s">
        <v>82</v>
      </c>
      <c r="E41" t="s">
        <v>385</v>
      </c>
      <c r="G41" s="68">
        <f>'[1]FC PP Plant and AD'!C37</f>
        <v>-263873.36999999988</v>
      </c>
      <c r="H41" s="68">
        <f>'[1]FC PP Plant and AD'!D37</f>
        <v>-269219.72999999986</v>
      </c>
      <c r="I41" s="68">
        <f>'[1]FC PP Plant and AD'!E37</f>
        <v>-274566.08999999985</v>
      </c>
      <c r="J41" s="68">
        <f>'[1]FC PP Plant and AD'!F37</f>
        <v>-279912.44999999984</v>
      </c>
      <c r="K41" s="68">
        <f>'[1]FC PP Plant and AD'!G37</f>
        <v>-285258.80999999982</v>
      </c>
      <c r="L41" s="68">
        <f>'[1]FC PP Plant and AD'!H37</f>
        <v>-290605.16999999981</v>
      </c>
      <c r="M41" s="68">
        <f>'[1]FC PP Plant and AD'!I37</f>
        <v>-295951.5299999998</v>
      </c>
      <c r="N41" s="68">
        <f>'[1]FC PP Plant and AD'!J37</f>
        <v>-301297.88999999978</v>
      </c>
      <c r="O41" s="68">
        <f>'[1]FC PP Plant and AD'!K37</f>
        <v>-306644.24999999977</v>
      </c>
      <c r="P41" s="68">
        <f>'[1]FC PP Plant and AD'!L37</f>
        <v>-311990.61</v>
      </c>
      <c r="Q41" s="68">
        <f>'[1]FC PP Plant and AD'!M37</f>
        <v>-317336.96999999997</v>
      </c>
      <c r="R41" s="68">
        <f>'[1]FC PP Plant and AD'!N37</f>
        <v>-322683.33</v>
      </c>
      <c r="S41" s="68">
        <f>'[1]FC PP Plant and AD'!O37</f>
        <v>-254232.94</v>
      </c>
      <c r="T41" s="73">
        <f t="shared" si="6"/>
        <v>-290274.85692307679</v>
      </c>
      <c r="U41" s="68"/>
      <c r="V41" s="68"/>
      <c r="W41" s="68"/>
      <c r="X41" s="68"/>
      <c r="Y41" s="68"/>
      <c r="Z41" s="68"/>
    </row>
    <row r="42" spans="3:26" x14ac:dyDescent="0.25">
      <c r="C42" t="s">
        <v>406</v>
      </c>
      <c r="D42" s="13" t="s">
        <v>83</v>
      </c>
      <c r="E42" t="s">
        <v>385</v>
      </c>
      <c r="G42" s="68">
        <f>'[1]FC PP Plant and AD'!C40</f>
        <v>-115532.95000000001</v>
      </c>
      <c r="H42" s="68">
        <f>'[1]FC PP Plant and AD'!D40</f>
        <v>-121640.93000000001</v>
      </c>
      <c r="I42" s="68">
        <f>'[1]FC PP Plant and AD'!E40</f>
        <v>-127748.91</v>
      </c>
      <c r="J42" s="68">
        <f>'[1]FC PP Plant and AD'!F40</f>
        <v>-133856.89000000001</v>
      </c>
      <c r="K42" s="68">
        <f>'[1]FC PP Plant and AD'!G40</f>
        <v>-139964.87000000002</v>
      </c>
      <c r="L42" s="68">
        <f>'[1]FC PP Plant and AD'!H40</f>
        <v>-146072.85000000003</v>
      </c>
      <c r="M42" s="68">
        <f>'[1]FC PP Plant and AD'!I40</f>
        <v>-152180.83000000005</v>
      </c>
      <c r="N42" s="68">
        <f>'[1]FC PP Plant and AD'!J40</f>
        <v>-158288.81000000006</v>
      </c>
      <c r="O42" s="68">
        <f>'[1]FC PP Plant and AD'!K40</f>
        <v>-164396.79000000007</v>
      </c>
      <c r="P42" s="68">
        <f>'[1]FC PP Plant and AD'!L40</f>
        <v>-170504.77</v>
      </c>
      <c r="Q42" s="68">
        <f>'[1]FC PP Plant and AD'!M40</f>
        <v>-176612.75</v>
      </c>
      <c r="R42" s="68">
        <f>'[1]FC PP Plant and AD'!N40</f>
        <v>-182720.73</v>
      </c>
      <c r="S42" s="68">
        <f>'[1]FC PP Plant and AD'!O40</f>
        <v>-192055.3</v>
      </c>
      <c r="T42" s="73">
        <f t="shared" si="6"/>
        <v>-152429.02923076926</v>
      </c>
      <c r="U42" s="68"/>
      <c r="V42" s="68"/>
      <c r="W42" s="68"/>
      <c r="X42" s="68"/>
      <c r="Y42" s="68"/>
      <c r="Z42" s="68"/>
    </row>
    <row r="43" spans="3:26" x14ac:dyDescent="0.25">
      <c r="C43" t="s">
        <v>407</v>
      </c>
      <c r="D43" s="13" t="s">
        <v>84</v>
      </c>
      <c r="E43" t="s">
        <v>385</v>
      </c>
      <c r="G43" s="68">
        <f>'[1]FC PP Plant and AD'!C41</f>
        <v>-81.5900000000006</v>
      </c>
      <c r="H43" s="68">
        <f>'[1]FC PP Plant and AD'!D41</f>
        <v>-811.80000000000064</v>
      </c>
      <c r="I43" s="68">
        <f>'[1]FC PP Plant and AD'!E41</f>
        <v>-1542.0100000000007</v>
      </c>
      <c r="J43" s="68">
        <f>'[1]FC PP Plant and AD'!F41</f>
        <v>-2272.2200000000007</v>
      </c>
      <c r="K43" s="68">
        <f>'[1]FC PP Plant and AD'!G41</f>
        <v>-3002.4300000000007</v>
      </c>
      <c r="L43" s="68">
        <f>'[1]FC PP Plant and AD'!H41</f>
        <v>-3732.6400000000008</v>
      </c>
      <c r="M43" s="68">
        <f>'[1]FC PP Plant and AD'!I41</f>
        <v>-4462.8500000000004</v>
      </c>
      <c r="N43" s="68">
        <f>'[1]FC PP Plant and AD'!J41</f>
        <v>-5193.0600000000004</v>
      </c>
      <c r="O43" s="68">
        <f>'[1]FC PP Plant and AD'!K41</f>
        <v>-5923.27</v>
      </c>
      <c r="P43" s="68">
        <f>'[1]FC PP Plant and AD'!L41</f>
        <v>-6653.48</v>
      </c>
      <c r="Q43" s="68">
        <f>'[1]FC PP Plant and AD'!M41</f>
        <v>-7383.69</v>
      </c>
      <c r="R43" s="68">
        <f>'[1]FC PP Plant and AD'!N41</f>
        <v>-8113.9</v>
      </c>
      <c r="S43" s="68">
        <f>'[1]FC PP Plant and AD'!O41</f>
        <v>-9977.82</v>
      </c>
      <c r="T43" s="73">
        <f t="shared" si="6"/>
        <v>-4550.0584615384623</v>
      </c>
      <c r="U43" s="68"/>
      <c r="V43" s="68"/>
      <c r="W43" s="68"/>
      <c r="X43" s="68"/>
      <c r="Y43" s="68"/>
      <c r="Z43" s="68"/>
    </row>
    <row r="44" spans="3:26" x14ac:dyDescent="0.25">
      <c r="C44" t="s">
        <v>408</v>
      </c>
      <c r="D44" s="13" t="s">
        <v>85</v>
      </c>
      <c r="E44" t="s">
        <v>385</v>
      </c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73">
        <f t="shared" si="6"/>
        <v>0</v>
      </c>
      <c r="U44" s="68"/>
      <c r="V44" s="68"/>
      <c r="W44" s="68"/>
      <c r="X44" s="68"/>
      <c r="Y44" s="68"/>
      <c r="Z44" s="68"/>
    </row>
    <row r="45" spans="3:26" x14ac:dyDescent="0.25">
      <c r="C45" s="13" t="s">
        <v>86</v>
      </c>
      <c r="D45" s="13" t="s">
        <v>87</v>
      </c>
      <c r="E45" t="s">
        <v>385</v>
      </c>
      <c r="G45" s="68">
        <f>'[1]FC with allocations'!C49</f>
        <v>30205</v>
      </c>
      <c r="H45" s="68">
        <f>'[1]FC with allocations'!D49</f>
        <v>32003</v>
      </c>
      <c r="I45" s="68">
        <f>'[1]FC with allocations'!E49</f>
        <v>32006</v>
      </c>
      <c r="J45" s="68">
        <f>'[1]FC with allocations'!F49</f>
        <v>32022</v>
      </c>
      <c r="K45" s="68">
        <f>'[1]FC with allocations'!G49</f>
        <v>32001</v>
      </c>
      <c r="L45" s="68">
        <f>'[1]FC with allocations'!H49</f>
        <v>31539</v>
      </c>
      <c r="M45" s="68">
        <f>'[1]FC with allocations'!I49</f>
        <v>31497</v>
      </c>
      <c r="N45" s="68">
        <f>'[1]FC with allocations'!J49</f>
        <v>31475</v>
      </c>
      <c r="O45" s="68">
        <f>'[1]FC with allocations'!K49</f>
        <v>31520</v>
      </c>
      <c r="P45" s="68">
        <f>'[1]FC with allocations'!L49</f>
        <v>31520</v>
      </c>
      <c r="Q45" s="68">
        <f>'[1]FC with allocations'!M49</f>
        <v>31252</v>
      </c>
      <c r="R45" s="68">
        <f>'[1]FC with allocations'!N49</f>
        <v>31252</v>
      </c>
      <c r="S45" s="68">
        <f>'[1]FC with allocations'!O49</f>
        <v>25334</v>
      </c>
      <c r="T45" s="73">
        <f t="shared" ref="T45:T47" si="7">SUM(G45:S45)/13</f>
        <v>31048.153846153848</v>
      </c>
      <c r="U45" s="68"/>
      <c r="V45" s="68"/>
      <c r="W45" s="68"/>
      <c r="X45" s="68"/>
      <c r="Y45" s="68"/>
      <c r="Z45" s="68"/>
    </row>
    <row r="46" spans="3:26" x14ac:dyDescent="0.25">
      <c r="C46" s="13" t="s">
        <v>88</v>
      </c>
      <c r="D46" s="13" t="s">
        <v>89</v>
      </c>
      <c r="E46" t="s">
        <v>385</v>
      </c>
      <c r="G46" s="68">
        <f>'[1]FC with allocations'!C50</f>
        <v>18026</v>
      </c>
      <c r="H46" s="68">
        <f>'[1]FC with allocations'!D50</f>
        <v>16224</v>
      </c>
      <c r="I46" s="68">
        <f>'[1]FC with allocations'!E50</f>
        <v>16291</v>
      </c>
      <c r="J46" s="68">
        <f>'[1]FC with allocations'!F50</f>
        <v>16291</v>
      </c>
      <c r="K46" s="68">
        <f>'[1]FC with allocations'!G50</f>
        <v>16291</v>
      </c>
      <c r="L46" s="68">
        <f>'[1]FC with allocations'!H50</f>
        <v>16291</v>
      </c>
      <c r="M46" s="68">
        <f>'[1]FC with allocations'!I50</f>
        <v>16291</v>
      </c>
      <c r="N46" s="68">
        <f>'[1]FC with allocations'!J50</f>
        <v>16526</v>
      </c>
      <c r="O46" s="68">
        <f>'[1]FC with allocations'!K50</f>
        <v>16658</v>
      </c>
      <c r="P46" s="68">
        <f>'[1]FC with allocations'!L50</f>
        <v>16736</v>
      </c>
      <c r="Q46" s="68">
        <f>'[1]FC with allocations'!M50</f>
        <v>16736</v>
      </c>
      <c r="R46" s="68">
        <f>'[1]FC with allocations'!N50</f>
        <v>16820</v>
      </c>
      <c r="S46" s="68">
        <f>'[1]FC with allocations'!O50</f>
        <v>22241</v>
      </c>
      <c r="T46" s="73">
        <f t="shared" si="7"/>
        <v>17032.461538461539</v>
      </c>
      <c r="U46" s="68"/>
      <c r="V46" s="68"/>
      <c r="W46" s="68"/>
      <c r="X46" s="68"/>
      <c r="Y46" s="68"/>
      <c r="Z46" s="68"/>
    </row>
    <row r="47" spans="3:26" x14ac:dyDescent="0.25">
      <c r="C47" s="13" t="s">
        <v>90</v>
      </c>
      <c r="D47" s="13" t="s">
        <v>91</v>
      </c>
      <c r="E47" t="s">
        <v>385</v>
      </c>
      <c r="G47" s="68">
        <f>'[1]FC with allocations'!C51</f>
        <v>-45669</v>
      </c>
      <c r="H47" s="68">
        <f>'[1]FC with allocations'!D51</f>
        <v>-45669</v>
      </c>
      <c r="I47" s="68">
        <f>'[1]FC with allocations'!E51</f>
        <v>-45669</v>
      </c>
      <c r="J47" s="68">
        <f>'[1]FC with allocations'!F51</f>
        <v>-45669</v>
      </c>
      <c r="K47" s="68">
        <f>'[1]FC with allocations'!G51</f>
        <v>-45669</v>
      </c>
      <c r="L47" s="68">
        <f>'[1]FC with allocations'!H51</f>
        <v>-45669</v>
      </c>
      <c r="M47" s="68">
        <f>'[1]FC with allocations'!I51</f>
        <v>-45669</v>
      </c>
      <c r="N47" s="68">
        <f>'[1]FC with allocations'!J51</f>
        <v>-45669</v>
      </c>
      <c r="O47" s="68">
        <f>'[1]FC with allocations'!K51</f>
        <v>-45669</v>
      </c>
      <c r="P47" s="68">
        <f>'[1]FC with allocations'!L51</f>
        <v>-45669</v>
      </c>
      <c r="Q47" s="68">
        <f>'[1]FC with allocations'!M51</f>
        <v>-45669</v>
      </c>
      <c r="R47" s="68">
        <f>'[1]FC with allocations'!N51</f>
        <v>-45669</v>
      </c>
      <c r="S47" s="68">
        <f>'[1]FC with allocations'!O51</f>
        <v>-45669</v>
      </c>
      <c r="T47" s="73">
        <f t="shared" si="7"/>
        <v>-45669</v>
      </c>
      <c r="U47" s="68"/>
      <c r="V47" s="68"/>
      <c r="W47" s="68"/>
      <c r="X47" s="68"/>
      <c r="Y47" s="68"/>
      <c r="Z47" s="68"/>
    </row>
    <row r="48" spans="3:26" x14ac:dyDescent="0.25">
      <c r="G48" s="71">
        <f t="shared" ref="G48:T48" si="8">SUM(G34:G47)</f>
        <v>-601374.71999999986</v>
      </c>
      <c r="H48" s="71">
        <f t="shared" si="8"/>
        <v>-649605.25999999989</v>
      </c>
      <c r="I48" s="71">
        <f t="shared" si="8"/>
        <v>-697832.72999999986</v>
      </c>
      <c r="J48" s="71">
        <f t="shared" si="8"/>
        <v>-742447.73999999976</v>
      </c>
      <c r="K48" s="71">
        <f t="shared" si="8"/>
        <v>-734925.23999999976</v>
      </c>
      <c r="L48" s="71">
        <f t="shared" si="8"/>
        <v>-783217.08999999973</v>
      </c>
      <c r="M48" s="71">
        <f t="shared" si="8"/>
        <v>-831091.97999999986</v>
      </c>
      <c r="N48" s="71">
        <f t="shared" si="8"/>
        <v>-878925.07999999984</v>
      </c>
      <c r="O48" s="71">
        <f t="shared" si="8"/>
        <v>-926925.57999999984</v>
      </c>
      <c r="P48" s="71">
        <f t="shared" si="8"/>
        <v>-942928.69000000006</v>
      </c>
      <c r="Q48" s="71">
        <f t="shared" si="8"/>
        <v>-991184.61</v>
      </c>
      <c r="R48" s="71">
        <f t="shared" si="8"/>
        <v>-1039172.34</v>
      </c>
      <c r="S48" s="71">
        <f t="shared" si="8"/>
        <v>-911385.20999999985</v>
      </c>
      <c r="T48" s="71">
        <f t="shared" si="8"/>
        <v>-825462.78999999992</v>
      </c>
      <c r="U48" s="68"/>
      <c r="V48" s="68"/>
      <c r="W48" s="68"/>
      <c r="X48" s="68"/>
      <c r="Y48" s="68"/>
      <c r="Z48" s="68"/>
    </row>
    <row r="49" spans="1:26" x14ac:dyDescent="0.25">
      <c r="G49" s="76">
        <f t="shared" ref="G49:T49" si="9">G48+G31</f>
        <v>-601374.71999999986</v>
      </c>
      <c r="H49" s="76">
        <f t="shared" si="9"/>
        <v>-649605.25999999989</v>
      </c>
      <c r="I49" s="76">
        <f t="shared" si="9"/>
        <v>-697832.72999999986</v>
      </c>
      <c r="J49" s="76">
        <f t="shared" si="9"/>
        <v>-742447.73999999976</v>
      </c>
      <c r="K49" s="76">
        <f t="shared" si="9"/>
        <v>-734925.23999999976</v>
      </c>
      <c r="L49" s="76">
        <f t="shared" si="9"/>
        <v>-783217.08999999973</v>
      </c>
      <c r="M49" s="76">
        <f t="shared" si="9"/>
        <v>-831091.97999999986</v>
      </c>
      <c r="N49" s="76">
        <f t="shared" si="9"/>
        <v>-878925.07999999984</v>
      </c>
      <c r="O49" s="76">
        <f t="shared" si="9"/>
        <v>-926925.57999999984</v>
      </c>
      <c r="P49" s="76">
        <f t="shared" si="9"/>
        <v>-942928.69000000006</v>
      </c>
      <c r="Q49" s="76">
        <f t="shared" si="9"/>
        <v>-991184.61</v>
      </c>
      <c r="R49" s="76">
        <f t="shared" si="9"/>
        <v>-1039172.34</v>
      </c>
      <c r="S49" s="76">
        <f t="shared" si="9"/>
        <v>-911385.20999999985</v>
      </c>
      <c r="T49" s="76">
        <f t="shared" si="9"/>
        <v>-825462.78999999992</v>
      </c>
      <c r="U49" s="68"/>
      <c r="V49" s="68"/>
      <c r="W49" s="68"/>
      <c r="X49" s="68"/>
      <c r="Y49" s="68"/>
      <c r="Z49" s="68"/>
    </row>
    <row r="50" spans="1:26" x14ac:dyDescent="0.25"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73"/>
      <c r="R50" s="73"/>
      <c r="S50" s="73"/>
      <c r="T50" s="68"/>
      <c r="U50" s="68"/>
      <c r="V50" s="68"/>
      <c r="W50" s="68"/>
      <c r="X50" s="68"/>
      <c r="Y50" s="68"/>
      <c r="Z50" s="68"/>
    </row>
    <row r="51" spans="1:26" x14ac:dyDescent="0.25">
      <c r="G51" s="79">
        <f>'[1]FC with allocations'!C53</f>
        <v>-601375</v>
      </c>
      <c r="H51" s="79">
        <f>'[1]FC with allocations'!D53</f>
        <v>-649606</v>
      </c>
      <c r="I51" s="79">
        <f>'[1]FC with allocations'!E53</f>
        <v>-697833</v>
      </c>
      <c r="J51" s="79">
        <f>'[1]FC with allocations'!F53</f>
        <v>-742448</v>
      </c>
      <c r="K51" s="79">
        <f>'[1]FC with allocations'!G53</f>
        <v>-734925</v>
      </c>
      <c r="L51" s="79">
        <f>'[1]FC with allocations'!H53</f>
        <v>-783218</v>
      </c>
      <c r="M51" s="79">
        <f>'[1]FC with allocations'!I53</f>
        <v>-831093</v>
      </c>
      <c r="N51" s="79">
        <f>'[1]FC with allocations'!J53</f>
        <v>-878925</v>
      </c>
      <c r="O51" s="79">
        <f>'[1]FC with allocations'!K53</f>
        <v>-926927</v>
      </c>
      <c r="P51" s="79">
        <f>'[1]FC with allocations'!L53</f>
        <v>-942929</v>
      </c>
      <c r="Q51" s="75">
        <f>'[1]FC with allocations'!M53</f>
        <v>-991185</v>
      </c>
      <c r="R51" s="75">
        <f>'[1]FC with allocations'!N53</f>
        <v>-1039173</v>
      </c>
      <c r="S51" s="75">
        <f>'[1]FC with allocations'!O53</f>
        <v>-911386</v>
      </c>
      <c r="T51" s="79">
        <f>('[1]FC with allocations'!P53)/13</f>
        <v>-825463.30769230775</v>
      </c>
      <c r="U51" s="68"/>
      <c r="V51" s="68"/>
      <c r="W51" s="68"/>
      <c r="X51" s="68"/>
      <c r="Y51" s="68"/>
      <c r="Z51" s="68"/>
    </row>
    <row r="52" spans="1:26" x14ac:dyDescent="0.25">
      <c r="G52" s="68">
        <f>G48-G51</f>
        <v>0.280000000144355</v>
      </c>
      <c r="H52" s="68">
        <f t="shared" ref="H52:T52" si="10">H48-H51</f>
        <v>0.7400000001071021</v>
      </c>
      <c r="I52" s="68">
        <f t="shared" si="10"/>
        <v>0.27000000013504177</v>
      </c>
      <c r="J52" s="68">
        <f t="shared" si="10"/>
        <v>0.26000000024214387</v>
      </c>
      <c r="K52" s="68">
        <f t="shared" si="10"/>
        <v>-0.23999999975785613</v>
      </c>
      <c r="L52" s="68">
        <f t="shared" si="10"/>
        <v>0.91000000026542693</v>
      </c>
      <c r="M52" s="68">
        <f t="shared" si="10"/>
        <v>1.0200000001350418</v>
      </c>
      <c r="N52" s="68">
        <f t="shared" si="10"/>
        <v>-7.9999999841675162E-2</v>
      </c>
      <c r="O52" s="68">
        <f t="shared" si="10"/>
        <v>1.4200000001583248</v>
      </c>
      <c r="P52" s="68">
        <f t="shared" si="10"/>
        <v>0.30999999993946403</v>
      </c>
      <c r="Q52" s="68">
        <f t="shared" si="10"/>
        <v>0.39000000001396984</v>
      </c>
      <c r="R52" s="68">
        <f t="shared" si="10"/>
        <v>0.66000000003259629</v>
      </c>
      <c r="S52" s="68">
        <f t="shared" si="10"/>
        <v>0.79000000015366822</v>
      </c>
      <c r="T52" s="68">
        <f t="shared" si="10"/>
        <v>0.51769230782520026</v>
      </c>
      <c r="U52" s="68"/>
      <c r="V52" s="68"/>
      <c r="W52" s="68"/>
      <c r="X52" s="68"/>
      <c r="Y52" s="68"/>
      <c r="Z52" s="68"/>
    </row>
    <row r="53" spans="1:26" x14ac:dyDescent="0.25">
      <c r="C53" s="13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73"/>
    </row>
    <row r="54" spans="1:26" x14ac:dyDescent="0.25">
      <c r="C54" s="13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73"/>
    </row>
    <row r="55" spans="1:26" x14ac:dyDescent="0.25">
      <c r="C55" s="13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73"/>
    </row>
    <row r="57" spans="1:26" ht="15.75" thickBot="1" x14ac:dyDescent="0.3">
      <c r="A57" s="80"/>
      <c r="B57" s="80"/>
      <c r="C57" s="80"/>
      <c r="D57" s="80"/>
      <c r="E57" s="80"/>
      <c r="F57" s="80"/>
      <c r="G57" s="81">
        <f t="shared" ref="G57:S57" si="11">+G5</f>
        <v>44179</v>
      </c>
      <c r="H57" s="81">
        <f t="shared" si="11"/>
        <v>44209</v>
      </c>
      <c r="I57" s="81">
        <f t="shared" si="11"/>
        <v>44239</v>
      </c>
      <c r="J57" s="81">
        <f t="shared" si="11"/>
        <v>44269</v>
      </c>
      <c r="K57" s="81">
        <f t="shared" si="11"/>
        <v>44299</v>
      </c>
      <c r="L57" s="81">
        <f t="shared" si="11"/>
        <v>44329</v>
      </c>
      <c r="M57" s="81">
        <f t="shared" si="11"/>
        <v>44359</v>
      </c>
      <c r="N57" s="81">
        <f t="shared" si="11"/>
        <v>44389</v>
      </c>
      <c r="O57" s="81">
        <f t="shared" si="11"/>
        <v>44419</v>
      </c>
      <c r="P57" s="81">
        <f t="shared" si="11"/>
        <v>44449</v>
      </c>
      <c r="Q57" s="81">
        <f t="shared" si="11"/>
        <v>44479</v>
      </c>
      <c r="R57" s="81">
        <f t="shared" si="11"/>
        <v>44509</v>
      </c>
      <c r="S57" s="81">
        <f t="shared" si="11"/>
        <v>44539</v>
      </c>
      <c r="T57" s="80" t="s">
        <v>409</v>
      </c>
      <c r="U57" s="82"/>
    </row>
    <row r="58" spans="1:26" x14ac:dyDescent="0.25">
      <c r="A58" s="82"/>
      <c r="B58" s="83" t="s">
        <v>410</v>
      </c>
      <c r="C58" s="84" t="s">
        <v>411</v>
      </c>
      <c r="D58" s="85">
        <f>'[1]Common Plant Allocation Factors'!E11</f>
        <v>0.40075371178398028</v>
      </c>
      <c r="E58" s="84"/>
      <c r="F58" s="84"/>
      <c r="G58" s="86">
        <f t="shared" ref="G58:S58" si="12">(G$26)*$D58</f>
        <v>4899332.2447081711</v>
      </c>
      <c r="H58" s="86">
        <f t="shared" si="12"/>
        <v>4903314.7868170068</v>
      </c>
      <c r="I58" s="86">
        <f t="shared" si="12"/>
        <v>4906612.4007570324</v>
      </c>
      <c r="J58" s="86">
        <f t="shared" si="12"/>
        <v>4907174.1492574513</v>
      </c>
      <c r="K58" s="86">
        <f t="shared" si="12"/>
        <v>4885392.8363662632</v>
      </c>
      <c r="L58" s="86">
        <f t="shared" si="12"/>
        <v>4886028.0951200342</v>
      </c>
      <c r="M58" s="86">
        <f t="shared" si="12"/>
        <v>4889891.1525097014</v>
      </c>
      <c r="N58" s="86">
        <f t="shared" si="12"/>
        <v>4896210.0286451811</v>
      </c>
      <c r="O58" s="86">
        <f t="shared" si="12"/>
        <v>4899987.1804691907</v>
      </c>
      <c r="P58" s="86">
        <f t="shared" si="12"/>
        <v>4887092.9578453004</v>
      </c>
      <c r="Q58" s="86">
        <f t="shared" si="12"/>
        <v>4891123.2657890441</v>
      </c>
      <c r="R58" s="86">
        <f t="shared" si="12"/>
        <v>4892925.7678188318</v>
      </c>
      <c r="S58" s="86">
        <f t="shared" si="12"/>
        <v>4885590.4840893773</v>
      </c>
      <c r="T58" s="87"/>
      <c r="U58" s="82"/>
    </row>
    <row r="59" spans="1:26" x14ac:dyDescent="0.25">
      <c r="A59" s="82"/>
      <c r="B59" s="88"/>
      <c r="C59" s="89"/>
      <c r="D59" s="90"/>
      <c r="E59" s="89" t="s">
        <v>381</v>
      </c>
      <c r="F59" s="89"/>
      <c r="G59" s="91">
        <f>G58</f>
        <v>4899332.2447081711</v>
      </c>
      <c r="H59" s="91">
        <f t="shared" ref="H59:S59" si="13">H58</f>
        <v>4903314.7868170068</v>
      </c>
      <c r="I59" s="91">
        <f t="shared" si="13"/>
        <v>4906612.4007570324</v>
      </c>
      <c r="J59" s="91">
        <f t="shared" si="13"/>
        <v>4907174.1492574513</v>
      </c>
      <c r="K59" s="91">
        <f t="shared" si="13"/>
        <v>4885392.8363662632</v>
      </c>
      <c r="L59" s="91">
        <f t="shared" si="13"/>
        <v>4886028.0951200342</v>
      </c>
      <c r="M59" s="91">
        <f t="shared" si="13"/>
        <v>4889891.1525097014</v>
      </c>
      <c r="N59" s="91">
        <f t="shared" si="13"/>
        <v>4896210.0286451811</v>
      </c>
      <c r="O59" s="91">
        <f t="shared" si="13"/>
        <v>4899987.1804691907</v>
      </c>
      <c r="P59" s="91">
        <f t="shared" si="13"/>
        <v>4887092.9578453004</v>
      </c>
      <c r="Q59" s="91">
        <f t="shared" si="13"/>
        <v>4891123.2657890441</v>
      </c>
      <c r="R59" s="91">
        <f t="shared" si="13"/>
        <v>4892925.7678188318</v>
      </c>
      <c r="S59" s="91">
        <f t="shared" si="13"/>
        <v>4885590.4840893773</v>
      </c>
      <c r="T59" s="92">
        <f>SUM(G59:S59)/13</f>
        <v>4894667.3346301988</v>
      </c>
      <c r="U59" s="82"/>
    </row>
    <row r="60" spans="1:26" x14ac:dyDescent="0.25">
      <c r="A60" s="82"/>
      <c r="B60" s="88"/>
      <c r="C60" s="89"/>
      <c r="D60" s="90"/>
      <c r="E60" s="89"/>
      <c r="F60" s="89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2"/>
      <c r="U60" s="82"/>
    </row>
    <row r="61" spans="1:26" x14ac:dyDescent="0.25">
      <c r="A61" s="82"/>
      <c r="B61" s="88"/>
      <c r="C61" s="89" t="s">
        <v>412</v>
      </c>
      <c r="D61" s="90">
        <f>D58</f>
        <v>0.40075371178398028</v>
      </c>
      <c r="E61" s="89"/>
      <c r="F61" s="89"/>
      <c r="G61" s="79">
        <f t="shared" ref="G61:S61" si="14">G$8*$D61</f>
        <v>0</v>
      </c>
      <c r="H61" s="79">
        <f t="shared" si="14"/>
        <v>0</v>
      </c>
      <c r="I61" s="79">
        <f t="shared" si="14"/>
        <v>0</v>
      </c>
      <c r="J61" s="79">
        <f t="shared" si="14"/>
        <v>0</v>
      </c>
      <c r="K61" s="79">
        <f t="shared" si="14"/>
        <v>1369.7761868776447</v>
      </c>
      <c r="L61" s="79">
        <f t="shared" si="14"/>
        <v>1369.7761868776447</v>
      </c>
      <c r="M61" s="79">
        <f t="shared" si="14"/>
        <v>0</v>
      </c>
      <c r="N61" s="79">
        <f t="shared" si="14"/>
        <v>0</v>
      </c>
      <c r="O61" s="79">
        <f t="shared" si="14"/>
        <v>0</v>
      </c>
      <c r="P61" s="79">
        <f t="shared" si="14"/>
        <v>546.62806287334911</v>
      </c>
      <c r="Q61" s="79">
        <f t="shared" si="14"/>
        <v>0</v>
      </c>
      <c r="R61" s="79">
        <f t="shared" si="14"/>
        <v>0</v>
      </c>
      <c r="S61" s="79">
        <f t="shared" si="14"/>
        <v>0</v>
      </c>
      <c r="T61" s="92"/>
      <c r="U61" s="82"/>
    </row>
    <row r="62" spans="1:26" x14ac:dyDescent="0.25">
      <c r="A62" s="82"/>
      <c r="B62" s="88"/>
      <c r="C62" s="89"/>
      <c r="D62" s="90"/>
      <c r="E62" s="89" t="s">
        <v>69</v>
      </c>
      <c r="F62" s="89"/>
      <c r="G62" s="91">
        <f>G61</f>
        <v>0</v>
      </c>
      <c r="H62" s="91">
        <f t="shared" ref="H62:S62" si="15">H61</f>
        <v>0</v>
      </c>
      <c r="I62" s="91">
        <f t="shared" si="15"/>
        <v>0</v>
      </c>
      <c r="J62" s="91">
        <f t="shared" si="15"/>
        <v>0</v>
      </c>
      <c r="K62" s="91">
        <f t="shared" si="15"/>
        <v>1369.7761868776447</v>
      </c>
      <c r="L62" s="91">
        <f t="shared" si="15"/>
        <v>1369.7761868776447</v>
      </c>
      <c r="M62" s="91">
        <f t="shared" si="15"/>
        <v>0</v>
      </c>
      <c r="N62" s="91">
        <f t="shared" si="15"/>
        <v>0</v>
      </c>
      <c r="O62" s="91">
        <f t="shared" si="15"/>
        <v>0</v>
      </c>
      <c r="P62" s="91">
        <f t="shared" si="15"/>
        <v>546.62806287334911</v>
      </c>
      <c r="Q62" s="91">
        <f t="shared" si="15"/>
        <v>0</v>
      </c>
      <c r="R62" s="91">
        <f t="shared" si="15"/>
        <v>0</v>
      </c>
      <c r="S62" s="91">
        <f t="shared" si="15"/>
        <v>0</v>
      </c>
      <c r="T62" s="92">
        <f>SUM(G62:S62)/13</f>
        <v>252.78311050989529</v>
      </c>
      <c r="U62" s="82"/>
    </row>
    <row r="63" spans="1:26" x14ac:dyDescent="0.25">
      <c r="A63" s="82"/>
      <c r="B63" s="88"/>
      <c r="C63" s="93"/>
      <c r="D63" s="90"/>
      <c r="E63" s="89"/>
      <c r="F63" s="89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2"/>
      <c r="U63" s="82"/>
    </row>
    <row r="64" spans="1:26" x14ac:dyDescent="0.25">
      <c r="A64" s="82"/>
      <c r="B64" s="88"/>
      <c r="C64" s="89" t="s">
        <v>413</v>
      </c>
      <c r="D64" s="90">
        <f>D58</f>
        <v>0.40075371178398028</v>
      </c>
      <c r="E64" s="89"/>
      <c r="F64" s="89"/>
      <c r="G64" s="79">
        <f t="shared" ref="G64:S64" si="16">(G$48)*$D64</f>
        <v>-241003.15121305178</v>
      </c>
      <c r="H64" s="79">
        <f t="shared" si="16"/>
        <v>-260331.71913939752</v>
      </c>
      <c r="I64" s="79">
        <f t="shared" si="16"/>
        <v>-279659.05675184808</v>
      </c>
      <c r="J64" s="79">
        <f t="shared" si="16"/>
        <v>-297538.68761062744</v>
      </c>
      <c r="K64" s="79">
        <f t="shared" si="16"/>
        <v>-294524.01781373244</v>
      </c>
      <c r="L64" s="79">
        <f t="shared" si="16"/>
        <v>-313877.15595014766</v>
      </c>
      <c r="M64" s="79">
        <f t="shared" si="16"/>
        <v>-333063.19581889745</v>
      </c>
      <c r="N64" s="79">
        <f t="shared" si="16"/>
        <v>-352232.48819003173</v>
      </c>
      <c r="O64" s="79">
        <f t="shared" si="16"/>
        <v>-371468.86673251871</v>
      </c>
      <c r="P64" s="79">
        <f t="shared" si="16"/>
        <v>-377882.17246510612</v>
      </c>
      <c r="Q64" s="79">
        <f t="shared" si="16"/>
        <v>-397220.9115206569</v>
      </c>
      <c r="R64" s="79">
        <f t="shared" si="16"/>
        <v>-416452.17243824434</v>
      </c>
      <c r="S64" s="79">
        <f t="shared" si="16"/>
        <v>-365241.0057725223</v>
      </c>
      <c r="T64" s="92"/>
      <c r="U64" s="82"/>
    </row>
    <row r="65" spans="1:21" x14ac:dyDescent="0.25">
      <c r="A65" s="82"/>
      <c r="B65" s="88"/>
      <c r="C65" s="89"/>
      <c r="D65" s="90"/>
      <c r="E65" s="89" t="s">
        <v>396</v>
      </c>
      <c r="F65" s="89"/>
      <c r="G65" s="91">
        <f>G64</f>
        <v>-241003.15121305178</v>
      </c>
      <c r="H65" s="91">
        <f t="shared" ref="H65:S65" si="17">H64</f>
        <v>-260331.71913939752</v>
      </c>
      <c r="I65" s="91">
        <f t="shared" si="17"/>
        <v>-279659.05675184808</v>
      </c>
      <c r="J65" s="91">
        <f t="shared" si="17"/>
        <v>-297538.68761062744</v>
      </c>
      <c r="K65" s="91">
        <f t="shared" si="17"/>
        <v>-294524.01781373244</v>
      </c>
      <c r="L65" s="91">
        <f t="shared" si="17"/>
        <v>-313877.15595014766</v>
      </c>
      <c r="M65" s="91">
        <f t="shared" si="17"/>
        <v>-333063.19581889745</v>
      </c>
      <c r="N65" s="91">
        <f t="shared" si="17"/>
        <v>-352232.48819003173</v>
      </c>
      <c r="O65" s="91">
        <f t="shared" si="17"/>
        <v>-371468.86673251871</v>
      </c>
      <c r="P65" s="91">
        <f t="shared" si="17"/>
        <v>-377882.17246510612</v>
      </c>
      <c r="Q65" s="91">
        <f t="shared" si="17"/>
        <v>-397220.9115206569</v>
      </c>
      <c r="R65" s="91">
        <f t="shared" si="17"/>
        <v>-416452.17243824434</v>
      </c>
      <c r="S65" s="91">
        <f t="shared" si="17"/>
        <v>-365241.0057725223</v>
      </c>
      <c r="T65" s="92">
        <f>SUM(G65:S65)/13</f>
        <v>-330807.2770320602</v>
      </c>
      <c r="U65" s="82"/>
    </row>
    <row r="66" spans="1:21" ht="15.75" thickBot="1" x14ac:dyDescent="0.3">
      <c r="A66" s="82"/>
      <c r="B66" s="94"/>
      <c r="C66" s="95"/>
      <c r="D66" s="96"/>
      <c r="E66" s="95"/>
      <c r="F66" s="95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2"/>
      <c r="U66" s="82"/>
    </row>
    <row r="67" spans="1:21" x14ac:dyDescent="0.25">
      <c r="A67" s="82"/>
      <c r="B67" s="83" t="s">
        <v>414</v>
      </c>
      <c r="C67" s="84" t="s">
        <v>411</v>
      </c>
      <c r="D67" s="85">
        <f>'[1]Common Plant Allocation Factors'!C11</f>
        <v>0.19493367655493263</v>
      </c>
      <c r="E67" s="84"/>
      <c r="F67" s="84"/>
      <c r="G67" s="86">
        <f t="shared" ref="G67:S67" si="18">(G$26)*$D67</f>
        <v>2383121.6506358795</v>
      </c>
      <c r="H67" s="86">
        <f t="shared" si="18"/>
        <v>2385058.8293880224</v>
      </c>
      <c r="I67" s="86">
        <f t="shared" si="18"/>
        <v>2386662.8469935646</v>
      </c>
      <c r="J67" s="86">
        <f t="shared" si="18"/>
        <v>2386936.0913760019</v>
      </c>
      <c r="K67" s="86">
        <f t="shared" si="18"/>
        <v>2376341.2764629428</v>
      </c>
      <c r="L67" s="86">
        <f t="shared" si="18"/>
        <v>2376650.2775296709</v>
      </c>
      <c r="M67" s="86">
        <f t="shared" si="18"/>
        <v>2378529.3368061483</v>
      </c>
      <c r="N67" s="86">
        <f t="shared" si="18"/>
        <v>2381602.9496525545</v>
      </c>
      <c r="O67" s="86">
        <f t="shared" si="18"/>
        <v>2383440.222946126</v>
      </c>
      <c r="P67" s="86">
        <f t="shared" si="18"/>
        <v>2377168.2455483284</v>
      </c>
      <c r="Q67" s="86">
        <f t="shared" si="18"/>
        <v>2379128.6584453797</v>
      </c>
      <c r="R67" s="86">
        <f t="shared" si="18"/>
        <v>2380005.4272371149</v>
      </c>
      <c r="S67" s="86">
        <f t="shared" si="18"/>
        <v>2376437.415802883</v>
      </c>
      <c r="T67" s="87"/>
      <c r="U67" s="82"/>
    </row>
    <row r="68" spans="1:21" x14ac:dyDescent="0.25">
      <c r="A68" s="82"/>
      <c r="B68" s="88"/>
      <c r="C68" s="89"/>
      <c r="D68" s="90"/>
      <c r="E68" s="89" t="s">
        <v>381</v>
      </c>
      <c r="F68" s="89"/>
      <c r="G68" s="91">
        <f>G67</f>
        <v>2383121.6506358795</v>
      </c>
      <c r="H68" s="91">
        <f t="shared" ref="H68:S68" si="19">H67</f>
        <v>2385058.8293880224</v>
      </c>
      <c r="I68" s="91">
        <f t="shared" si="19"/>
        <v>2386662.8469935646</v>
      </c>
      <c r="J68" s="91">
        <f t="shared" si="19"/>
        <v>2386936.0913760019</v>
      </c>
      <c r="K68" s="91">
        <f t="shared" si="19"/>
        <v>2376341.2764629428</v>
      </c>
      <c r="L68" s="91">
        <f t="shared" si="19"/>
        <v>2376650.2775296709</v>
      </c>
      <c r="M68" s="91">
        <f t="shared" si="19"/>
        <v>2378529.3368061483</v>
      </c>
      <c r="N68" s="91">
        <f t="shared" si="19"/>
        <v>2381602.9496525545</v>
      </c>
      <c r="O68" s="91">
        <f t="shared" si="19"/>
        <v>2383440.222946126</v>
      </c>
      <c r="P68" s="91">
        <f t="shared" si="19"/>
        <v>2377168.2455483284</v>
      </c>
      <c r="Q68" s="91">
        <f t="shared" si="19"/>
        <v>2379128.6584453797</v>
      </c>
      <c r="R68" s="91">
        <f t="shared" si="19"/>
        <v>2380005.4272371149</v>
      </c>
      <c r="S68" s="91">
        <f t="shared" si="19"/>
        <v>2376437.415802883</v>
      </c>
      <c r="T68" s="92">
        <f>SUM(G68:S68)/13</f>
        <v>2380852.5560634318</v>
      </c>
      <c r="U68" s="82"/>
    </row>
    <row r="69" spans="1:21" x14ac:dyDescent="0.25">
      <c r="A69" s="82"/>
      <c r="B69" s="88"/>
      <c r="C69" s="89"/>
      <c r="D69" s="90"/>
      <c r="E69" s="89"/>
      <c r="F69" s="89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2"/>
      <c r="U69" s="82"/>
    </row>
    <row r="70" spans="1:21" x14ac:dyDescent="0.25">
      <c r="A70" s="82"/>
      <c r="B70" s="88"/>
      <c r="C70" s="89" t="s">
        <v>412</v>
      </c>
      <c r="D70" s="90">
        <f>D67</f>
        <v>0.19493367655493263</v>
      </c>
      <c r="E70" s="89"/>
      <c r="F70" s="89"/>
      <c r="G70" s="79">
        <f t="shared" ref="G70:S70" si="20">G$8*$D70</f>
        <v>0</v>
      </c>
      <c r="H70" s="79">
        <f t="shared" si="20"/>
        <v>0</v>
      </c>
      <c r="I70" s="79">
        <f t="shared" si="20"/>
        <v>0</v>
      </c>
      <c r="J70" s="79">
        <f t="shared" si="20"/>
        <v>0</v>
      </c>
      <c r="K70" s="79">
        <f t="shared" si="20"/>
        <v>666.28330646475968</v>
      </c>
      <c r="L70" s="79">
        <f t="shared" si="20"/>
        <v>666.28330646475968</v>
      </c>
      <c r="M70" s="79">
        <f t="shared" si="20"/>
        <v>0</v>
      </c>
      <c r="N70" s="79">
        <f t="shared" si="20"/>
        <v>0</v>
      </c>
      <c r="O70" s="79">
        <f t="shared" si="20"/>
        <v>0</v>
      </c>
      <c r="P70" s="79">
        <f t="shared" si="20"/>
        <v>265.88953482092808</v>
      </c>
      <c r="Q70" s="79">
        <f t="shared" si="20"/>
        <v>0</v>
      </c>
      <c r="R70" s="79">
        <f t="shared" si="20"/>
        <v>0</v>
      </c>
      <c r="S70" s="79">
        <f t="shared" si="20"/>
        <v>0</v>
      </c>
      <c r="T70" s="92"/>
      <c r="U70" s="82"/>
    </row>
    <row r="71" spans="1:21" x14ac:dyDescent="0.25">
      <c r="A71" s="82"/>
      <c r="B71" s="88"/>
      <c r="C71" s="89"/>
      <c r="D71" s="90"/>
      <c r="E71" s="89" t="s">
        <v>69</v>
      </c>
      <c r="F71" s="89"/>
      <c r="G71" s="91">
        <f>G70</f>
        <v>0</v>
      </c>
      <c r="H71" s="91">
        <f t="shared" ref="H71:S71" si="21">H70</f>
        <v>0</v>
      </c>
      <c r="I71" s="91">
        <f t="shared" si="21"/>
        <v>0</v>
      </c>
      <c r="J71" s="91">
        <f t="shared" si="21"/>
        <v>0</v>
      </c>
      <c r="K71" s="91">
        <f t="shared" si="21"/>
        <v>666.28330646475968</v>
      </c>
      <c r="L71" s="91">
        <f t="shared" si="21"/>
        <v>666.28330646475968</v>
      </c>
      <c r="M71" s="91">
        <f t="shared" si="21"/>
        <v>0</v>
      </c>
      <c r="N71" s="91">
        <f t="shared" si="21"/>
        <v>0</v>
      </c>
      <c r="O71" s="91">
        <f t="shared" si="21"/>
        <v>0</v>
      </c>
      <c r="P71" s="91">
        <f t="shared" si="21"/>
        <v>265.88953482092808</v>
      </c>
      <c r="Q71" s="91">
        <f t="shared" si="21"/>
        <v>0</v>
      </c>
      <c r="R71" s="91">
        <f t="shared" si="21"/>
        <v>0</v>
      </c>
      <c r="S71" s="91">
        <f t="shared" si="21"/>
        <v>0</v>
      </c>
      <c r="T71" s="92">
        <f>SUM(G71:S71)/13</f>
        <v>122.95816521157288</v>
      </c>
      <c r="U71" s="82"/>
    </row>
    <row r="72" spans="1:21" x14ac:dyDescent="0.25">
      <c r="A72" s="82"/>
      <c r="B72" s="88"/>
      <c r="C72" s="89"/>
      <c r="D72" s="90"/>
      <c r="E72" s="89"/>
      <c r="F72" s="89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2"/>
      <c r="U72" s="82"/>
    </row>
    <row r="73" spans="1:21" x14ac:dyDescent="0.25">
      <c r="A73" s="82"/>
      <c r="B73" s="88"/>
      <c r="C73" s="93" t="s">
        <v>415</v>
      </c>
      <c r="D73" s="90">
        <f>+D67</f>
        <v>0.19493367655493263</v>
      </c>
      <c r="E73" s="89"/>
      <c r="F73" s="89"/>
      <c r="G73" s="79">
        <f>G$48*$D73</f>
        <v>-117228.18515679314</v>
      </c>
      <c r="H73" s="79">
        <f>H$48*$D73</f>
        <v>-126629.94164122289</v>
      </c>
      <c r="I73" s="79">
        <f t="shared" ref="I73:S73" si="22">I$48*$D73</f>
        <v>-136031.09967926561</v>
      </c>
      <c r="J73" s="79">
        <f t="shared" si="22"/>
        <v>-144728.06760810068</v>
      </c>
      <c r="K73" s="79">
        <f t="shared" si="22"/>
        <v>-143261.67902621618</v>
      </c>
      <c r="L73" s="79">
        <f t="shared" si="22"/>
        <v>-152675.3868943555</v>
      </c>
      <c r="M73" s="79">
        <f t="shared" si="22"/>
        <v>-162007.8152167185</v>
      </c>
      <c r="N73" s="79">
        <f t="shared" si="22"/>
        <v>-171332.09726073826</v>
      </c>
      <c r="O73" s="79">
        <f t="shared" si="22"/>
        <v>-180689.0112022133</v>
      </c>
      <c r="P73" s="79">
        <f t="shared" si="22"/>
        <v>-183808.55627082635</v>
      </c>
      <c r="Q73" s="79">
        <f t="shared" si="22"/>
        <v>-193215.26017196703</v>
      </c>
      <c r="R73" s="79">
        <f t="shared" si="22"/>
        <v>-202569.68481039247</v>
      </c>
      <c r="S73" s="79">
        <f t="shared" si="22"/>
        <v>-177659.66974308933</v>
      </c>
      <c r="T73" s="92"/>
      <c r="U73" s="82"/>
    </row>
    <row r="74" spans="1:21" x14ac:dyDescent="0.25">
      <c r="A74" s="82"/>
      <c r="B74" s="88"/>
      <c r="C74" s="89"/>
      <c r="D74" s="90"/>
      <c r="E74" s="89" t="s">
        <v>396</v>
      </c>
      <c r="F74" s="89"/>
      <c r="G74" s="91">
        <f>+G73</f>
        <v>-117228.18515679314</v>
      </c>
      <c r="H74" s="91">
        <f t="shared" ref="H74:S74" si="23">+H73</f>
        <v>-126629.94164122289</v>
      </c>
      <c r="I74" s="91">
        <f t="shared" si="23"/>
        <v>-136031.09967926561</v>
      </c>
      <c r="J74" s="91">
        <f t="shared" si="23"/>
        <v>-144728.06760810068</v>
      </c>
      <c r="K74" s="91">
        <f t="shared" si="23"/>
        <v>-143261.67902621618</v>
      </c>
      <c r="L74" s="91">
        <f t="shared" si="23"/>
        <v>-152675.3868943555</v>
      </c>
      <c r="M74" s="91">
        <f t="shared" si="23"/>
        <v>-162007.8152167185</v>
      </c>
      <c r="N74" s="91">
        <f t="shared" si="23"/>
        <v>-171332.09726073826</v>
      </c>
      <c r="O74" s="91">
        <f t="shared" si="23"/>
        <v>-180689.0112022133</v>
      </c>
      <c r="P74" s="91">
        <f t="shared" si="23"/>
        <v>-183808.55627082635</v>
      </c>
      <c r="Q74" s="91">
        <f t="shared" si="23"/>
        <v>-193215.26017196703</v>
      </c>
      <c r="R74" s="91">
        <f t="shared" si="23"/>
        <v>-202569.68481039247</v>
      </c>
      <c r="S74" s="91">
        <f t="shared" si="23"/>
        <v>-177659.66974308933</v>
      </c>
      <c r="T74" s="92">
        <f>SUM(G74:S74)/13</f>
        <v>-160910.49651399226</v>
      </c>
      <c r="U74" s="82"/>
    </row>
    <row r="75" spans="1:21" ht="15.75" thickBot="1" x14ac:dyDescent="0.3">
      <c r="A75" s="82"/>
      <c r="B75" s="94"/>
      <c r="C75" s="95"/>
      <c r="D75" s="96"/>
      <c r="E75" s="95"/>
      <c r="F75" s="95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2"/>
      <c r="U75" s="82"/>
    </row>
    <row r="76" spans="1:21" x14ac:dyDescent="0.25">
      <c r="A76" s="82"/>
      <c r="B76" s="83" t="s">
        <v>416</v>
      </c>
      <c r="C76" s="84" t="s">
        <v>411</v>
      </c>
      <c r="D76" s="85">
        <f>'[1]Common Plant Allocation Factors'!B11</f>
        <v>0.17538138419273502</v>
      </c>
      <c r="E76" s="84"/>
      <c r="F76" s="84"/>
      <c r="G76" s="86">
        <f t="shared" ref="G76:S76" si="24">(G$26)*$D76</f>
        <v>2144089.1136653628</v>
      </c>
      <c r="H76" s="86">
        <f t="shared" si="24"/>
        <v>2145831.9889703584</v>
      </c>
      <c r="I76" s="86">
        <f t="shared" si="24"/>
        <v>2147275.1199516295</v>
      </c>
      <c r="J76" s="86">
        <f t="shared" si="24"/>
        <v>2147520.957299294</v>
      </c>
      <c r="K76" s="86">
        <f t="shared" si="24"/>
        <v>2137988.8264866145</v>
      </c>
      <c r="L76" s="86">
        <f t="shared" si="24"/>
        <v>2138266.8340415815</v>
      </c>
      <c r="M76" s="86">
        <f t="shared" si="24"/>
        <v>2139957.4193868795</v>
      </c>
      <c r="N76" s="86">
        <f t="shared" si="24"/>
        <v>2142722.7418545107</v>
      </c>
      <c r="O76" s="86">
        <f t="shared" si="24"/>
        <v>2144375.7324462933</v>
      </c>
      <c r="P76" s="86">
        <f t="shared" si="24"/>
        <v>2138732.8486865889</v>
      </c>
      <c r="Q76" s="86">
        <f t="shared" si="24"/>
        <v>2140496.6276987665</v>
      </c>
      <c r="R76" s="86">
        <f t="shared" si="24"/>
        <v>2141285.4545809608</v>
      </c>
      <c r="S76" s="86">
        <f t="shared" si="24"/>
        <v>2138075.3228314845</v>
      </c>
      <c r="T76" s="87"/>
      <c r="U76" s="82"/>
    </row>
    <row r="77" spans="1:21" x14ac:dyDescent="0.25">
      <c r="A77" s="82"/>
      <c r="B77" s="88"/>
      <c r="C77" s="89"/>
      <c r="D77" s="90"/>
      <c r="E77" s="89" t="s">
        <v>381</v>
      </c>
      <c r="F77" s="89"/>
      <c r="G77" s="91">
        <f>G76</f>
        <v>2144089.1136653628</v>
      </c>
      <c r="H77" s="91">
        <f t="shared" ref="H77:S77" si="25">H76</f>
        <v>2145831.9889703584</v>
      </c>
      <c r="I77" s="91">
        <f t="shared" si="25"/>
        <v>2147275.1199516295</v>
      </c>
      <c r="J77" s="91">
        <f t="shared" si="25"/>
        <v>2147520.957299294</v>
      </c>
      <c r="K77" s="91">
        <f t="shared" si="25"/>
        <v>2137988.8264866145</v>
      </c>
      <c r="L77" s="91">
        <f t="shared" si="25"/>
        <v>2138266.8340415815</v>
      </c>
      <c r="M77" s="91">
        <f t="shared" si="25"/>
        <v>2139957.4193868795</v>
      </c>
      <c r="N77" s="91">
        <f t="shared" si="25"/>
        <v>2142722.7418545107</v>
      </c>
      <c r="O77" s="91">
        <f t="shared" si="25"/>
        <v>2144375.7324462933</v>
      </c>
      <c r="P77" s="91">
        <f t="shared" si="25"/>
        <v>2138732.8486865889</v>
      </c>
      <c r="Q77" s="91">
        <f t="shared" si="25"/>
        <v>2140496.6276987665</v>
      </c>
      <c r="R77" s="91">
        <f t="shared" si="25"/>
        <v>2141285.4545809608</v>
      </c>
      <c r="S77" s="91">
        <f t="shared" si="25"/>
        <v>2138075.3228314845</v>
      </c>
      <c r="T77" s="92">
        <f>SUM(G77:S77)/13</f>
        <v>2142047.6144538713</v>
      </c>
      <c r="U77" s="82"/>
    </row>
    <row r="78" spans="1:21" x14ac:dyDescent="0.25">
      <c r="A78" s="82"/>
      <c r="B78" s="88"/>
      <c r="C78" s="89"/>
      <c r="D78" s="90"/>
      <c r="E78" s="89"/>
      <c r="F78" s="89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2"/>
      <c r="U78" s="82"/>
    </row>
    <row r="79" spans="1:21" x14ac:dyDescent="0.25">
      <c r="A79" s="82"/>
      <c r="B79" s="88"/>
      <c r="C79" s="89" t="s">
        <v>412</v>
      </c>
      <c r="D79" s="90">
        <f>D76</f>
        <v>0.17538138419273502</v>
      </c>
      <c r="E79" s="89"/>
      <c r="F79" s="89"/>
      <c r="G79" s="79">
        <f>G$8*$D79</f>
        <v>0</v>
      </c>
      <c r="H79" s="79">
        <f t="shared" ref="H79:S79" si="26">H$8*$D79</f>
        <v>0</v>
      </c>
      <c r="I79" s="79">
        <f t="shared" si="26"/>
        <v>0</v>
      </c>
      <c r="J79" s="79">
        <f t="shared" si="26"/>
        <v>0</v>
      </c>
      <c r="K79" s="79">
        <f t="shared" si="26"/>
        <v>599.45357117076833</v>
      </c>
      <c r="L79" s="79">
        <f t="shared" si="26"/>
        <v>599.45357117076833</v>
      </c>
      <c r="M79" s="79">
        <f t="shared" si="26"/>
        <v>0</v>
      </c>
      <c r="N79" s="79">
        <f t="shared" si="26"/>
        <v>0</v>
      </c>
      <c r="O79" s="79">
        <f t="shared" si="26"/>
        <v>0</v>
      </c>
      <c r="P79" s="79">
        <f t="shared" si="26"/>
        <v>239.22020803889058</v>
      </c>
      <c r="Q79" s="79">
        <f t="shared" si="26"/>
        <v>0</v>
      </c>
      <c r="R79" s="79">
        <f t="shared" si="26"/>
        <v>0</v>
      </c>
      <c r="S79" s="79">
        <f t="shared" si="26"/>
        <v>0</v>
      </c>
      <c r="T79" s="92"/>
      <c r="U79" s="82"/>
    </row>
    <row r="80" spans="1:21" x14ac:dyDescent="0.25">
      <c r="A80" s="82"/>
      <c r="B80" s="88"/>
      <c r="C80" s="89"/>
      <c r="D80" s="90"/>
      <c r="E80" s="89" t="s">
        <v>69</v>
      </c>
      <c r="F80" s="89"/>
      <c r="G80" s="91">
        <f>G79</f>
        <v>0</v>
      </c>
      <c r="H80" s="91">
        <f t="shared" ref="H80:S80" si="27">H79</f>
        <v>0</v>
      </c>
      <c r="I80" s="91">
        <f t="shared" si="27"/>
        <v>0</v>
      </c>
      <c r="J80" s="91">
        <f t="shared" si="27"/>
        <v>0</v>
      </c>
      <c r="K80" s="91">
        <f t="shared" si="27"/>
        <v>599.45357117076833</v>
      </c>
      <c r="L80" s="91">
        <f t="shared" si="27"/>
        <v>599.45357117076833</v>
      </c>
      <c r="M80" s="91">
        <f t="shared" si="27"/>
        <v>0</v>
      </c>
      <c r="N80" s="91">
        <f t="shared" si="27"/>
        <v>0</v>
      </c>
      <c r="O80" s="91">
        <f t="shared" si="27"/>
        <v>0</v>
      </c>
      <c r="P80" s="91">
        <f t="shared" si="27"/>
        <v>239.22020803889058</v>
      </c>
      <c r="Q80" s="91">
        <f t="shared" si="27"/>
        <v>0</v>
      </c>
      <c r="R80" s="91">
        <f t="shared" si="27"/>
        <v>0</v>
      </c>
      <c r="S80" s="91">
        <f t="shared" si="27"/>
        <v>0</v>
      </c>
      <c r="T80" s="92">
        <f>SUM(G80:S80)/13</f>
        <v>110.62518079849441</v>
      </c>
      <c r="U80" s="82"/>
    </row>
    <row r="81" spans="1:21" x14ac:dyDescent="0.25">
      <c r="A81" s="82"/>
      <c r="B81" s="88"/>
      <c r="C81" s="93"/>
      <c r="D81" s="90"/>
      <c r="E81" s="89"/>
      <c r="F81" s="89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2"/>
      <c r="U81" s="82"/>
    </row>
    <row r="82" spans="1:21" x14ac:dyDescent="0.25">
      <c r="A82" s="82"/>
      <c r="B82" s="88"/>
      <c r="C82" s="89" t="s">
        <v>413</v>
      </c>
      <c r="D82" s="90">
        <f>D76</f>
        <v>0.17538138419273502</v>
      </c>
      <c r="E82" s="89"/>
      <c r="F82" s="89"/>
      <c r="G82" s="79">
        <f>(G$48)*$D82</f>
        <v>-105469.93081211843</v>
      </c>
      <c r="H82" s="79">
        <f t="shared" ref="H82:S82" si="28">(H$48)*$D82</f>
        <v>-113928.66967768151</v>
      </c>
      <c r="I82" s="79">
        <f t="shared" si="28"/>
        <v>-122386.87012239511</v>
      </c>
      <c r="J82" s="79">
        <f t="shared" si="28"/>
        <v>-130211.5123319678</v>
      </c>
      <c r="K82" s="79">
        <f t="shared" si="28"/>
        <v>-128892.20586937795</v>
      </c>
      <c r="L82" s="79">
        <f t="shared" si="28"/>
        <v>-137361.69736760587</v>
      </c>
      <c r="M82" s="79">
        <f t="shared" si="28"/>
        <v>-145758.06184388083</v>
      </c>
      <c r="N82" s="79">
        <f t="shared" si="28"/>
        <v>-154147.09713211033</v>
      </c>
      <c r="O82" s="79">
        <f t="shared" si="28"/>
        <v>-162565.49126405371</v>
      </c>
      <c r="P82" s="79">
        <f t="shared" si="28"/>
        <v>-165372.13884724234</v>
      </c>
      <c r="Q82" s="79">
        <f t="shared" si="28"/>
        <v>-173835.32889233623</v>
      </c>
      <c r="R82" s="79">
        <f t="shared" si="28"/>
        <v>-182251.48340400346</v>
      </c>
      <c r="S82" s="79">
        <f t="shared" si="28"/>
        <v>-159839.99966258646</v>
      </c>
      <c r="T82" s="92"/>
      <c r="U82" s="82"/>
    </row>
    <row r="83" spans="1:21" x14ac:dyDescent="0.25">
      <c r="A83" s="82"/>
      <c r="B83" s="88"/>
      <c r="C83" s="89"/>
      <c r="D83" s="90"/>
      <c r="E83" s="89" t="s">
        <v>396</v>
      </c>
      <c r="F83" s="89"/>
      <c r="G83" s="91">
        <f>G82</f>
        <v>-105469.93081211843</v>
      </c>
      <c r="H83" s="91">
        <f t="shared" ref="H83:S83" si="29">H82</f>
        <v>-113928.66967768151</v>
      </c>
      <c r="I83" s="91">
        <f t="shared" si="29"/>
        <v>-122386.87012239511</v>
      </c>
      <c r="J83" s="91">
        <f t="shared" si="29"/>
        <v>-130211.5123319678</v>
      </c>
      <c r="K83" s="91">
        <f t="shared" si="29"/>
        <v>-128892.20586937795</v>
      </c>
      <c r="L83" s="91">
        <f t="shared" si="29"/>
        <v>-137361.69736760587</v>
      </c>
      <c r="M83" s="91">
        <f t="shared" si="29"/>
        <v>-145758.06184388083</v>
      </c>
      <c r="N83" s="91">
        <f t="shared" si="29"/>
        <v>-154147.09713211033</v>
      </c>
      <c r="O83" s="91">
        <f t="shared" si="29"/>
        <v>-162565.49126405371</v>
      </c>
      <c r="P83" s="91">
        <f t="shared" si="29"/>
        <v>-165372.13884724234</v>
      </c>
      <c r="Q83" s="91">
        <f t="shared" si="29"/>
        <v>-173835.32889233623</v>
      </c>
      <c r="R83" s="91">
        <f t="shared" si="29"/>
        <v>-182251.48340400346</v>
      </c>
      <c r="S83" s="91">
        <f t="shared" si="29"/>
        <v>-159839.99966258646</v>
      </c>
      <c r="T83" s="92">
        <f>SUM(G83:S83)/13</f>
        <v>-144770.80670979692</v>
      </c>
      <c r="U83" s="82"/>
    </row>
    <row r="84" spans="1:21" ht="15.75" thickBot="1" x14ac:dyDescent="0.3">
      <c r="A84" s="82"/>
      <c r="B84" s="94"/>
      <c r="C84" s="95"/>
      <c r="D84" s="96"/>
      <c r="E84" s="95"/>
      <c r="F84" s="95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2"/>
      <c r="U84" s="82"/>
    </row>
    <row r="85" spans="1:21" x14ac:dyDescent="0.25">
      <c r="A85" s="82"/>
      <c r="B85" s="83" t="s">
        <v>417</v>
      </c>
      <c r="C85" s="84" t="s">
        <v>411</v>
      </c>
      <c r="D85" s="85">
        <f>'[1]Common Plant Allocation Factors'!D11</f>
        <v>-2.6963863219386323E-3</v>
      </c>
      <c r="E85" s="84"/>
      <c r="F85" s="84"/>
      <c r="G85" s="86">
        <f>(G$26)*$D85</f>
        <v>-32964.117518604311</v>
      </c>
      <c r="H85" s="86">
        <f t="shared" ref="H85:S85" si="30">(H$26)*$D85</f>
        <v>-32990.913208208804</v>
      </c>
      <c r="I85" s="86">
        <f t="shared" si="30"/>
        <v>-33013.10050395046</v>
      </c>
      <c r="J85" s="86">
        <f t="shared" si="30"/>
        <v>-33016.880109549507</v>
      </c>
      <c r="K85" s="86">
        <f t="shared" si="30"/>
        <v>-32870.329167096046</v>
      </c>
      <c r="L85" s="86">
        <f t="shared" si="30"/>
        <v>-32874.603370838129</v>
      </c>
      <c r="M85" s="86">
        <f t="shared" si="30"/>
        <v>-32900.595132860726</v>
      </c>
      <c r="N85" s="86">
        <f t="shared" si="30"/>
        <v>-32943.110350264171</v>
      </c>
      <c r="O85" s="86">
        <f t="shared" si="30"/>
        <v>-32968.524114914799</v>
      </c>
      <c r="P85" s="86">
        <f t="shared" si="30"/>
        <v>-32881.768073753468</v>
      </c>
      <c r="Q85" s="86">
        <f t="shared" si="30"/>
        <v>-32908.885145643668</v>
      </c>
      <c r="R85" s="86">
        <f t="shared" si="30"/>
        <v>-32921.012898114757</v>
      </c>
      <c r="S85" s="86">
        <f t="shared" si="30"/>
        <v>-32871.658997866165</v>
      </c>
      <c r="T85" s="87"/>
      <c r="U85" s="82"/>
    </row>
    <row r="86" spans="1:21" x14ac:dyDescent="0.25">
      <c r="A86" s="82"/>
      <c r="B86" s="88"/>
      <c r="C86" s="98" t="s">
        <v>418</v>
      </c>
      <c r="D86" s="90"/>
      <c r="E86" s="89" t="s">
        <v>381</v>
      </c>
      <c r="F86" s="89"/>
      <c r="G86" s="91">
        <f>G85</f>
        <v>-32964.117518604311</v>
      </c>
      <c r="H86" s="91">
        <f t="shared" ref="H86:S86" si="31">H85</f>
        <v>-32990.913208208804</v>
      </c>
      <c r="I86" s="91">
        <f t="shared" si="31"/>
        <v>-33013.10050395046</v>
      </c>
      <c r="J86" s="91">
        <f t="shared" si="31"/>
        <v>-33016.880109549507</v>
      </c>
      <c r="K86" s="91">
        <f t="shared" si="31"/>
        <v>-32870.329167096046</v>
      </c>
      <c r="L86" s="91">
        <f t="shared" si="31"/>
        <v>-32874.603370838129</v>
      </c>
      <c r="M86" s="91">
        <f t="shared" si="31"/>
        <v>-32900.595132860726</v>
      </c>
      <c r="N86" s="91">
        <f t="shared" si="31"/>
        <v>-32943.110350264171</v>
      </c>
      <c r="O86" s="91">
        <f t="shared" si="31"/>
        <v>-32968.524114914799</v>
      </c>
      <c r="P86" s="91">
        <f t="shared" si="31"/>
        <v>-32881.768073753468</v>
      </c>
      <c r="Q86" s="91">
        <f t="shared" si="31"/>
        <v>-32908.885145643668</v>
      </c>
      <c r="R86" s="91">
        <f t="shared" si="31"/>
        <v>-32921.012898114757</v>
      </c>
      <c r="S86" s="91">
        <f t="shared" si="31"/>
        <v>-32871.658997866165</v>
      </c>
      <c r="T86" s="92">
        <f>SUM(G86:S86)/13</f>
        <v>-32932.730660897309</v>
      </c>
      <c r="U86" s="82"/>
    </row>
    <row r="87" spans="1:21" x14ac:dyDescent="0.25">
      <c r="A87" s="82"/>
      <c r="B87" s="88"/>
      <c r="C87" s="89"/>
      <c r="D87" s="90"/>
      <c r="E87" s="89"/>
      <c r="F87" s="89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2"/>
      <c r="U87" s="82"/>
    </row>
    <row r="88" spans="1:21" x14ac:dyDescent="0.25">
      <c r="A88" s="82"/>
      <c r="B88" s="88"/>
      <c r="C88" s="89" t="s">
        <v>412</v>
      </c>
      <c r="D88" s="90">
        <f>D85</f>
        <v>-2.6963863219386323E-3</v>
      </c>
      <c r="E88" s="89"/>
      <c r="F88" s="89"/>
      <c r="G88" s="79">
        <f>G$8*$D88</f>
        <v>0</v>
      </c>
      <c r="H88" s="79">
        <f t="shared" ref="H88:S88" si="32">H$8*$D88</f>
        <v>0</v>
      </c>
      <c r="I88" s="79">
        <f t="shared" si="32"/>
        <v>0</v>
      </c>
      <c r="J88" s="79">
        <f t="shared" si="32"/>
        <v>0</v>
      </c>
      <c r="K88" s="79">
        <f t="shared" si="32"/>
        <v>-9.2162484483862457</v>
      </c>
      <c r="L88" s="79">
        <f t="shared" si="32"/>
        <v>-9.2162484483862457</v>
      </c>
      <c r="M88" s="79">
        <f t="shared" si="32"/>
        <v>0</v>
      </c>
      <c r="N88" s="79">
        <f t="shared" si="32"/>
        <v>0</v>
      </c>
      <c r="O88" s="79">
        <f t="shared" si="32"/>
        <v>0</v>
      </c>
      <c r="P88" s="79">
        <f t="shared" si="32"/>
        <v>-3.6778709431242946</v>
      </c>
      <c r="Q88" s="79">
        <f t="shared" si="32"/>
        <v>0</v>
      </c>
      <c r="R88" s="79">
        <f t="shared" si="32"/>
        <v>0</v>
      </c>
      <c r="S88" s="79">
        <f t="shared" si="32"/>
        <v>0</v>
      </c>
      <c r="T88" s="92"/>
      <c r="U88" s="82"/>
    </row>
    <row r="89" spans="1:21" x14ac:dyDescent="0.25">
      <c r="A89" s="82"/>
      <c r="B89" s="88"/>
      <c r="C89" s="89"/>
      <c r="D89" s="90"/>
      <c r="E89" s="89" t="s">
        <v>69</v>
      </c>
      <c r="F89" s="89"/>
      <c r="G89" s="91">
        <f>G88</f>
        <v>0</v>
      </c>
      <c r="H89" s="91">
        <f t="shared" ref="H89:S89" si="33">H88</f>
        <v>0</v>
      </c>
      <c r="I89" s="91">
        <f t="shared" si="33"/>
        <v>0</v>
      </c>
      <c r="J89" s="91">
        <f t="shared" si="33"/>
        <v>0</v>
      </c>
      <c r="K89" s="91">
        <f t="shared" si="33"/>
        <v>-9.2162484483862457</v>
      </c>
      <c r="L89" s="91">
        <f t="shared" si="33"/>
        <v>-9.2162484483862457</v>
      </c>
      <c r="M89" s="91">
        <f t="shared" si="33"/>
        <v>0</v>
      </c>
      <c r="N89" s="91">
        <f t="shared" si="33"/>
        <v>0</v>
      </c>
      <c r="O89" s="91">
        <f t="shared" si="33"/>
        <v>0</v>
      </c>
      <c r="P89" s="91">
        <f t="shared" si="33"/>
        <v>-3.6778709431242946</v>
      </c>
      <c r="Q89" s="91">
        <f t="shared" si="33"/>
        <v>0</v>
      </c>
      <c r="R89" s="91">
        <f t="shared" si="33"/>
        <v>0</v>
      </c>
      <c r="S89" s="91">
        <f t="shared" si="33"/>
        <v>0</v>
      </c>
      <c r="T89" s="92">
        <f>SUM(G89:S89)/13</f>
        <v>-1.7007975261459065</v>
      </c>
      <c r="U89" s="82"/>
    </row>
    <row r="90" spans="1:21" x14ac:dyDescent="0.25">
      <c r="A90" s="82"/>
      <c r="B90" s="88"/>
      <c r="C90" s="93"/>
      <c r="D90" s="90"/>
      <c r="E90" s="89"/>
      <c r="F90" s="89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2"/>
      <c r="U90" s="82"/>
    </row>
    <row r="91" spans="1:21" x14ac:dyDescent="0.25">
      <c r="A91" s="82"/>
      <c r="B91" s="88"/>
      <c r="C91" s="89" t="s">
        <v>413</v>
      </c>
      <c r="D91" s="90">
        <f>D85</f>
        <v>-2.6963863219386323E-3</v>
      </c>
      <c r="E91" s="89"/>
      <c r="F91" s="89"/>
      <c r="G91" s="79">
        <f>(G$48)*$D91</f>
        <v>1621.5385693676744</v>
      </c>
      <c r="H91" s="79">
        <f t="shared" ref="H91:S91" si="34">(H$48)*$D91</f>
        <v>1751.5867377233885</v>
      </c>
      <c r="I91" s="79">
        <f t="shared" si="34"/>
        <v>1881.6266281730943</v>
      </c>
      <c r="J91" s="79">
        <f t="shared" si="34"/>
        <v>2001.9259308902492</v>
      </c>
      <c r="K91" s="79">
        <f t="shared" si="34"/>
        <v>1981.6423647834658</v>
      </c>
      <c r="L91" s="79">
        <f t="shared" si="34"/>
        <v>2111.8558485845779</v>
      </c>
      <c r="M91" s="79">
        <f t="shared" si="34"/>
        <v>2240.9450471448949</v>
      </c>
      <c r="N91" s="79">
        <f t="shared" si="34"/>
        <v>2369.9215637208176</v>
      </c>
      <c r="O91" s="79">
        <f t="shared" si="34"/>
        <v>2499.349455367033</v>
      </c>
      <c r="P91" s="79">
        <f t="shared" si="34"/>
        <v>2542.5000222795129</v>
      </c>
      <c r="Q91" s="79">
        <f t="shared" si="34"/>
        <v>2672.6166249200778</v>
      </c>
      <c r="R91" s="79">
        <f t="shared" si="34"/>
        <v>2802.0100837129617</v>
      </c>
      <c r="S91" s="79">
        <f t="shared" si="34"/>
        <v>2457.4466142611677</v>
      </c>
      <c r="T91" s="92"/>
      <c r="U91" s="82"/>
    </row>
    <row r="92" spans="1:21" x14ac:dyDescent="0.25">
      <c r="A92" s="82"/>
      <c r="B92" s="88"/>
      <c r="C92" s="89"/>
      <c r="D92" s="90"/>
      <c r="E92" s="89" t="s">
        <v>396</v>
      </c>
      <c r="F92" s="89"/>
      <c r="G92" s="91">
        <f>G91</f>
        <v>1621.5385693676744</v>
      </c>
      <c r="H92" s="91">
        <f t="shared" ref="H92:S92" si="35">H91</f>
        <v>1751.5867377233885</v>
      </c>
      <c r="I92" s="91">
        <f t="shared" si="35"/>
        <v>1881.6266281730943</v>
      </c>
      <c r="J92" s="91">
        <f t="shared" si="35"/>
        <v>2001.9259308902492</v>
      </c>
      <c r="K92" s="91">
        <f t="shared" si="35"/>
        <v>1981.6423647834658</v>
      </c>
      <c r="L92" s="91">
        <f t="shared" si="35"/>
        <v>2111.8558485845779</v>
      </c>
      <c r="M92" s="91">
        <f t="shared" si="35"/>
        <v>2240.9450471448949</v>
      </c>
      <c r="N92" s="91">
        <f t="shared" si="35"/>
        <v>2369.9215637208176</v>
      </c>
      <c r="O92" s="91">
        <f t="shared" si="35"/>
        <v>2499.349455367033</v>
      </c>
      <c r="P92" s="91">
        <f t="shared" si="35"/>
        <v>2542.5000222795129</v>
      </c>
      <c r="Q92" s="91">
        <f t="shared" si="35"/>
        <v>2672.6166249200778</v>
      </c>
      <c r="R92" s="91">
        <f t="shared" si="35"/>
        <v>2802.0100837129617</v>
      </c>
      <c r="S92" s="91">
        <f t="shared" si="35"/>
        <v>2457.4466142611677</v>
      </c>
      <c r="T92" s="92">
        <f>SUM(G92:S92)/13</f>
        <v>2225.7665762253014</v>
      </c>
      <c r="U92" s="82"/>
    </row>
    <row r="93" spans="1:21" ht="15.75" thickBot="1" x14ac:dyDescent="0.3">
      <c r="A93" s="82"/>
      <c r="B93" s="94"/>
      <c r="C93" s="95"/>
      <c r="D93" s="96"/>
      <c r="E93" s="95"/>
      <c r="F93" s="95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2"/>
      <c r="U93" s="82"/>
    </row>
    <row r="94" spans="1:21" x14ac:dyDescent="0.25">
      <c r="A94" s="82"/>
      <c r="B94" s="83" t="s">
        <v>419</v>
      </c>
      <c r="C94" s="84" t="s">
        <v>411</v>
      </c>
      <c r="D94" s="85">
        <f>'[1]Common Plant Allocation Factors'!F11</f>
        <v>2.4706719004354946E-3</v>
      </c>
      <c r="E94" s="84"/>
      <c r="F94" s="84"/>
      <c r="G94" s="86">
        <f>(G$26)*$D94</f>
        <v>30204.692188659861</v>
      </c>
      <c r="H94" s="86">
        <f t="shared" ref="H94:S94" si="36">(H$26)*$D94</f>
        <v>30229.244811857789</v>
      </c>
      <c r="I94" s="86">
        <f t="shared" si="36"/>
        <v>30249.574809710677</v>
      </c>
      <c r="J94" s="86">
        <f t="shared" si="36"/>
        <v>30253.038024633672</v>
      </c>
      <c r="K94" s="86">
        <f t="shared" si="36"/>
        <v>30118.754857360451</v>
      </c>
      <c r="L94" s="86">
        <f t="shared" si="36"/>
        <v>30122.671267630147</v>
      </c>
      <c r="M94" s="86">
        <f t="shared" si="36"/>
        <v>30146.487260000951</v>
      </c>
      <c r="N94" s="86">
        <f t="shared" si="36"/>
        <v>30185.443529777633</v>
      </c>
      <c r="O94" s="86">
        <f t="shared" si="36"/>
        <v>30208.72990891986</v>
      </c>
      <c r="P94" s="86">
        <f t="shared" si="36"/>
        <v>30129.236213470384</v>
      </c>
      <c r="Q94" s="86">
        <f t="shared" si="36"/>
        <v>30154.083316052122</v>
      </c>
      <c r="R94" s="86">
        <f t="shared" si="36"/>
        <v>30165.19585471246</v>
      </c>
      <c r="S94" s="86">
        <f t="shared" si="36"/>
        <v>30119.973368035025</v>
      </c>
      <c r="T94" s="87"/>
      <c r="U94" s="82"/>
    </row>
    <row r="95" spans="1:21" x14ac:dyDescent="0.25">
      <c r="A95" s="82"/>
      <c r="B95" s="88"/>
      <c r="C95" s="89"/>
      <c r="D95" s="90"/>
      <c r="E95" s="89" t="s">
        <v>381</v>
      </c>
      <c r="F95" s="89"/>
      <c r="G95" s="91">
        <f>G94</f>
        <v>30204.692188659861</v>
      </c>
      <c r="H95" s="91">
        <f t="shared" ref="H95:S95" si="37">H94</f>
        <v>30229.244811857789</v>
      </c>
      <c r="I95" s="91">
        <f t="shared" si="37"/>
        <v>30249.574809710677</v>
      </c>
      <c r="J95" s="91">
        <f t="shared" si="37"/>
        <v>30253.038024633672</v>
      </c>
      <c r="K95" s="91">
        <f t="shared" si="37"/>
        <v>30118.754857360451</v>
      </c>
      <c r="L95" s="91">
        <f t="shared" si="37"/>
        <v>30122.671267630147</v>
      </c>
      <c r="M95" s="91">
        <f t="shared" si="37"/>
        <v>30146.487260000951</v>
      </c>
      <c r="N95" s="91">
        <f t="shared" si="37"/>
        <v>30185.443529777633</v>
      </c>
      <c r="O95" s="91">
        <f t="shared" si="37"/>
        <v>30208.72990891986</v>
      </c>
      <c r="P95" s="91">
        <f t="shared" si="37"/>
        <v>30129.236213470384</v>
      </c>
      <c r="Q95" s="91">
        <f t="shared" si="37"/>
        <v>30154.083316052122</v>
      </c>
      <c r="R95" s="91">
        <f t="shared" si="37"/>
        <v>30165.19585471246</v>
      </c>
      <c r="S95" s="91">
        <f t="shared" si="37"/>
        <v>30119.973368035025</v>
      </c>
      <c r="T95" s="92">
        <f>SUM(G95:S95)/13</f>
        <v>30175.932723909311</v>
      </c>
      <c r="U95" s="82"/>
    </row>
    <row r="96" spans="1:21" x14ac:dyDescent="0.25">
      <c r="A96" s="82"/>
      <c r="B96" s="88"/>
      <c r="C96" s="89"/>
      <c r="D96" s="90"/>
      <c r="E96" s="89"/>
      <c r="F96" s="89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2"/>
      <c r="U96" s="82"/>
    </row>
    <row r="97" spans="1:21" x14ac:dyDescent="0.25">
      <c r="A97" s="82"/>
      <c r="B97" s="88"/>
      <c r="C97" s="89" t="s">
        <v>412</v>
      </c>
      <c r="D97" s="90">
        <f>D94</f>
        <v>2.4706719004354946E-3</v>
      </c>
      <c r="E97" s="89"/>
      <c r="F97" s="89"/>
      <c r="G97" s="79">
        <f>G$8*$D97</f>
        <v>0</v>
      </c>
      <c r="H97" s="79">
        <f t="shared" ref="H97:S97" si="38">H$8*$D97</f>
        <v>0</v>
      </c>
      <c r="I97" s="79">
        <f t="shared" si="38"/>
        <v>0</v>
      </c>
      <c r="J97" s="79">
        <f t="shared" si="38"/>
        <v>0</v>
      </c>
      <c r="K97" s="79">
        <f t="shared" si="38"/>
        <v>8.4447565556885209</v>
      </c>
      <c r="L97" s="79">
        <f t="shared" si="38"/>
        <v>8.4447565556885209</v>
      </c>
      <c r="M97" s="79">
        <f t="shared" si="38"/>
        <v>0</v>
      </c>
      <c r="N97" s="79">
        <f t="shared" si="38"/>
        <v>0</v>
      </c>
      <c r="O97" s="79">
        <f t="shared" si="38"/>
        <v>0</v>
      </c>
      <c r="P97" s="79">
        <f t="shared" si="38"/>
        <v>3.3699964721940145</v>
      </c>
      <c r="Q97" s="79">
        <f t="shared" si="38"/>
        <v>0</v>
      </c>
      <c r="R97" s="79">
        <f t="shared" si="38"/>
        <v>0</v>
      </c>
      <c r="S97" s="79">
        <f t="shared" si="38"/>
        <v>0</v>
      </c>
      <c r="T97" s="92"/>
      <c r="U97" s="82"/>
    </row>
    <row r="98" spans="1:21" x14ac:dyDescent="0.25">
      <c r="A98" s="82"/>
      <c r="B98" s="88"/>
      <c r="C98" s="89"/>
      <c r="D98" s="90"/>
      <c r="E98" s="89" t="s">
        <v>69</v>
      </c>
      <c r="F98" s="89"/>
      <c r="G98" s="91">
        <f>G97</f>
        <v>0</v>
      </c>
      <c r="H98" s="91">
        <f t="shared" ref="H98:S98" si="39">H97</f>
        <v>0</v>
      </c>
      <c r="I98" s="91">
        <f t="shared" si="39"/>
        <v>0</v>
      </c>
      <c r="J98" s="91">
        <f t="shared" si="39"/>
        <v>0</v>
      </c>
      <c r="K98" s="91">
        <f t="shared" si="39"/>
        <v>8.4447565556885209</v>
      </c>
      <c r="L98" s="91">
        <f t="shared" si="39"/>
        <v>8.4447565556885209</v>
      </c>
      <c r="M98" s="91">
        <f t="shared" si="39"/>
        <v>0</v>
      </c>
      <c r="N98" s="91">
        <f t="shared" si="39"/>
        <v>0</v>
      </c>
      <c r="O98" s="91">
        <f t="shared" si="39"/>
        <v>0</v>
      </c>
      <c r="P98" s="91">
        <f t="shared" si="39"/>
        <v>3.3699964721940145</v>
      </c>
      <c r="Q98" s="91">
        <f t="shared" si="39"/>
        <v>0</v>
      </c>
      <c r="R98" s="91">
        <f t="shared" si="39"/>
        <v>0</v>
      </c>
      <c r="S98" s="91">
        <f t="shared" si="39"/>
        <v>0</v>
      </c>
      <c r="T98" s="92">
        <f>SUM(G98:S98)/13</f>
        <v>1.5584238141208504</v>
      </c>
      <c r="U98" s="82"/>
    </row>
    <row r="99" spans="1:21" x14ac:dyDescent="0.25">
      <c r="A99" s="82"/>
      <c r="B99" s="88"/>
      <c r="C99" s="93"/>
      <c r="D99" s="90"/>
      <c r="E99" s="89"/>
      <c r="F99" s="89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2"/>
      <c r="U99" s="82"/>
    </row>
    <row r="100" spans="1:21" x14ac:dyDescent="0.25">
      <c r="A100" s="82"/>
      <c r="B100" s="88"/>
      <c r="C100" s="89" t="s">
        <v>413</v>
      </c>
      <c r="D100" s="90">
        <f>D94</f>
        <v>2.4706719004354946E-3</v>
      </c>
      <c r="E100" s="89"/>
      <c r="F100" s="89"/>
      <c r="G100" s="79">
        <f>(G$48)*$D100</f>
        <v>-1485.7996223362632</v>
      </c>
      <c r="H100" s="79">
        <f t="shared" ref="H100:S100" si="40">(H$48)*$D100</f>
        <v>-1604.9614622570934</v>
      </c>
      <c r="I100" s="79">
        <f t="shared" si="40"/>
        <v>-1724.1157172151891</v>
      </c>
      <c r="J100" s="79">
        <f t="shared" si="40"/>
        <v>-1834.3447687598375</v>
      </c>
      <c r="K100" s="79">
        <f t="shared" si="40"/>
        <v>-1815.7591393888115</v>
      </c>
      <c r="L100" s="79">
        <f t="shared" si="40"/>
        <v>-1935.0724562038572</v>
      </c>
      <c r="M100" s="79">
        <f t="shared" si="40"/>
        <v>-2053.3556016632979</v>
      </c>
      <c r="N100" s="79">
        <f t="shared" si="40"/>
        <v>-2171.5354977440188</v>
      </c>
      <c r="O100" s="79">
        <f t="shared" si="40"/>
        <v>-2290.1289843008726</v>
      </c>
      <c r="P100" s="79">
        <f t="shared" si="40"/>
        <v>-2329.6674184974513</v>
      </c>
      <c r="Q100" s="79">
        <f t="shared" si="40"/>
        <v>-2448.8919640711147</v>
      </c>
      <c r="R100" s="79">
        <f t="shared" si="40"/>
        <v>-2567.4539001477997</v>
      </c>
      <c r="S100" s="79">
        <f t="shared" si="40"/>
        <v>-2251.7338288195019</v>
      </c>
      <c r="T100" s="92"/>
      <c r="U100" s="82"/>
    </row>
    <row r="101" spans="1:21" x14ac:dyDescent="0.25">
      <c r="A101" s="82"/>
      <c r="B101" s="88"/>
      <c r="C101" s="89"/>
      <c r="D101" s="90"/>
      <c r="E101" s="89" t="s">
        <v>396</v>
      </c>
      <c r="F101" s="89"/>
      <c r="G101" s="91">
        <f>G100</f>
        <v>-1485.7996223362632</v>
      </c>
      <c r="H101" s="91">
        <f t="shared" ref="H101:S101" si="41">H100</f>
        <v>-1604.9614622570934</v>
      </c>
      <c r="I101" s="91">
        <f t="shared" si="41"/>
        <v>-1724.1157172151891</v>
      </c>
      <c r="J101" s="91">
        <f t="shared" si="41"/>
        <v>-1834.3447687598375</v>
      </c>
      <c r="K101" s="91">
        <f t="shared" si="41"/>
        <v>-1815.7591393888115</v>
      </c>
      <c r="L101" s="91">
        <f t="shared" si="41"/>
        <v>-1935.0724562038572</v>
      </c>
      <c r="M101" s="91">
        <f t="shared" si="41"/>
        <v>-2053.3556016632979</v>
      </c>
      <c r="N101" s="91">
        <f t="shared" si="41"/>
        <v>-2171.5354977440188</v>
      </c>
      <c r="O101" s="91">
        <f t="shared" si="41"/>
        <v>-2290.1289843008726</v>
      </c>
      <c r="P101" s="91">
        <f t="shared" si="41"/>
        <v>-2329.6674184974513</v>
      </c>
      <c r="Q101" s="91">
        <f t="shared" si="41"/>
        <v>-2448.8919640711147</v>
      </c>
      <c r="R101" s="91">
        <f t="shared" si="41"/>
        <v>-2567.4539001477997</v>
      </c>
      <c r="S101" s="91">
        <f t="shared" si="41"/>
        <v>-2251.7338288195019</v>
      </c>
      <c r="T101" s="92">
        <f>SUM(G101:S101)/13</f>
        <v>-2039.4477201080854</v>
      </c>
      <c r="U101" s="82"/>
    </row>
    <row r="102" spans="1:21" ht="15.75" thickBot="1" x14ac:dyDescent="0.3">
      <c r="A102" s="82"/>
      <c r="B102" s="94"/>
      <c r="C102" s="95"/>
      <c r="D102" s="96"/>
      <c r="E102" s="95"/>
      <c r="F102" s="95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2"/>
      <c r="U102" s="82"/>
    </row>
    <row r="103" spans="1:21" x14ac:dyDescent="0.25">
      <c r="A103" s="82"/>
      <c r="B103" s="83" t="s">
        <v>420</v>
      </c>
      <c r="C103" s="84" t="s">
        <v>411</v>
      </c>
      <c r="D103" s="85">
        <f>'[1]Common Plant Allocation Factors'!G11</f>
        <v>0.22915694188985516</v>
      </c>
      <c r="E103" s="84"/>
      <c r="F103" s="84"/>
      <c r="G103" s="86">
        <f>(G$26)*$D103</f>
        <v>2801511.1563205323</v>
      </c>
      <c r="H103" s="86">
        <f t="shared" ref="H103:S103" si="42">(H$26)*$D103</f>
        <v>2803788.4332209653</v>
      </c>
      <c r="I103" s="86">
        <f t="shared" si="42"/>
        <v>2805674.0579920141</v>
      </c>
      <c r="J103" s="86">
        <f t="shared" si="42"/>
        <v>2805995.2741521695</v>
      </c>
      <c r="K103" s="86">
        <f t="shared" si="42"/>
        <v>2793540.3949939162</v>
      </c>
      <c r="L103" s="86">
        <f t="shared" si="42"/>
        <v>2793903.6454119226</v>
      </c>
      <c r="M103" s="86">
        <f t="shared" si="42"/>
        <v>2796112.5991701307</v>
      </c>
      <c r="N103" s="86">
        <f t="shared" si="42"/>
        <v>2799725.8266682401</v>
      </c>
      <c r="O103" s="86">
        <f t="shared" si="42"/>
        <v>2801885.6583443847</v>
      </c>
      <c r="P103" s="86">
        <f t="shared" si="42"/>
        <v>2794512.5497800647</v>
      </c>
      <c r="Q103" s="86">
        <f t="shared" si="42"/>
        <v>2796817.1398964017</v>
      </c>
      <c r="R103" s="86">
        <f t="shared" si="42"/>
        <v>2797847.8374064947</v>
      </c>
      <c r="S103" s="86">
        <f t="shared" si="42"/>
        <v>2793653.412906087</v>
      </c>
      <c r="T103" s="87"/>
      <c r="U103" s="82"/>
    </row>
    <row r="104" spans="1:21" x14ac:dyDescent="0.25">
      <c r="A104" s="82"/>
      <c r="B104" s="88"/>
      <c r="C104" s="89"/>
      <c r="D104" s="90"/>
      <c r="E104" s="89" t="s">
        <v>381</v>
      </c>
      <c r="F104" s="89"/>
      <c r="G104" s="91">
        <f>G103</f>
        <v>2801511.1563205323</v>
      </c>
      <c r="H104" s="91">
        <f t="shared" ref="H104:S104" si="43">H103</f>
        <v>2803788.4332209653</v>
      </c>
      <c r="I104" s="91">
        <f t="shared" si="43"/>
        <v>2805674.0579920141</v>
      </c>
      <c r="J104" s="91">
        <f t="shared" si="43"/>
        <v>2805995.2741521695</v>
      </c>
      <c r="K104" s="91">
        <f t="shared" si="43"/>
        <v>2793540.3949939162</v>
      </c>
      <c r="L104" s="91">
        <f t="shared" si="43"/>
        <v>2793903.6454119226</v>
      </c>
      <c r="M104" s="91">
        <f t="shared" si="43"/>
        <v>2796112.5991701307</v>
      </c>
      <c r="N104" s="91">
        <f t="shared" si="43"/>
        <v>2799725.8266682401</v>
      </c>
      <c r="O104" s="91">
        <f t="shared" si="43"/>
        <v>2801885.6583443847</v>
      </c>
      <c r="P104" s="91">
        <f t="shared" si="43"/>
        <v>2794512.5497800647</v>
      </c>
      <c r="Q104" s="91">
        <f t="shared" si="43"/>
        <v>2796817.1398964017</v>
      </c>
      <c r="R104" s="91">
        <f t="shared" si="43"/>
        <v>2797847.8374064947</v>
      </c>
      <c r="S104" s="91">
        <f t="shared" si="43"/>
        <v>2793653.412906087</v>
      </c>
      <c r="T104" s="92">
        <f>SUM(G104:S104)/13</f>
        <v>2798843.6912510246</v>
      </c>
      <c r="U104" s="82"/>
    </row>
    <row r="105" spans="1:21" x14ac:dyDescent="0.25">
      <c r="A105" s="82"/>
      <c r="B105" s="88"/>
      <c r="C105" s="89"/>
      <c r="D105" s="90"/>
      <c r="E105" s="89"/>
      <c r="F105" s="89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2"/>
      <c r="U105" s="82"/>
    </row>
    <row r="106" spans="1:21" x14ac:dyDescent="0.25">
      <c r="A106" s="82"/>
      <c r="B106" s="88"/>
      <c r="C106" s="89" t="s">
        <v>412</v>
      </c>
      <c r="D106" s="90">
        <f>D103</f>
        <v>0.22915694188985516</v>
      </c>
      <c r="E106" s="89"/>
      <c r="F106" s="89"/>
      <c r="G106" s="79">
        <f>G$8*$D106</f>
        <v>0</v>
      </c>
      <c r="H106" s="79">
        <f t="shared" ref="H106:S106" si="44">H$8*$D106</f>
        <v>0</v>
      </c>
      <c r="I106" s="79">
        <f t="shared" si="44"/>
        <v>0</v>
      </c>
      <c r="J106" s="79">
        <f t="shared" si="44"/>
        <v>0</v>
      </c>
      <c r="K106" s="79">
        <f t="shared" si="44"/>
        <v>783.25842737952496</v>
      </c>
      <c r="L106" s="79">
        <f t="shared" si="44"/>
        <v>783.25842737952496</v>
      </c>
      <c r="M106" s="79">
        <f t="shared" si="44"/>
        <v>0</v>
      </c>
      <c r="N106" s="79">
        <f t="shared" si="44"/>
        <v>0</v>
      </c>
      <c r="O106" s="79">
        <f t="shared" si="44"/>
        <v>0</v>
      </c>
      <c r="P106" s="79">
        <f t="shared" si="44"/>
        <v>312.57006873776243</v>
      </c>
      <c r="Q106" s="79">
        <f t="shared" si="44"/>
        <v>0</v>
      </c>
      <c r="R106" s="79">
        <f t="shared" si="44"/>
        <v>0</v>
      </c>
      <c r="S106" s="79">
        <f t="shared" si="44"/>
        <v>0</v>
      </c>
      <c r="T106" s="92"/>
      <c r="U106" s="82"/>
    </row>
    <row r="107" spans="1:21" x14ac:dyDescent="0.25">
      <c r="A107" s="82"/>
      <c r="B107" s="88"/>
      <c r="C107" s="89"/>
      <c r="D107" s="90"/>
      <c r="E107" s="89" t="s">
        <v>69</v>
      </c>
      <c r="F107" s="89"/>
      <c r="G107" s="91">
        <f>G106</f>
        <v>0</v>
      </c>
      <c r="H107" s="91">
        <f t="shared" ref="H107:S107" si="45">H106</f>
        <v>0</v>
      </c>
      <c r="I107" s="91">
        <f t="shared" si="45"/>
        <v>0</v>
      </c>
      <c r="J107" s="91">
        <f t="shared" si="45"/>
        <v>0</v>
      </c>
      <c r="K107" s="91">
        <f t="shared" si="45"/>
        <v>783.25842737952496</v>
      </c>
      <c r="L107" s="91">
        <f t="shared" si="45"/>
        <v>783.25842737952496</v>
      </c>
      <c r="M107" s="91">
        <f t="shared" si="45"/>
        <v>0</v>
      </c>
      <c r="N107" s="91">
        <f t="shared" si="45"/>
        <v>0</v>
      </c>
      <c r="O107" s="91">
        <f t="shared" si="45"/>
        <v>0</v>
      </c>
      <c r="P107" s="91">
        <f t="shared" si="45"/>
        <v>312.57006873776243</v>
      </c>
      <c r="Q107" s="91">
        <f t="shared" si="45"/>
        <v>0</v>
      </c>
      <c r="R107" s="91">
        <f t="shared" si="45"/>
        <v>0</v>
      </c>
      <c r="S107" s="91">
        <f t="shared" si="45"/>
        <v>0</v>
      </c>
      <c r="T107" s="92">
        <f>SUM(G107:S107)/13</f>
        <v>144.54514796129325</v>
      </c>
      <c r="U107" s="82"/>
    </row>
    <row r="108" spans="1:21" x14ac:dyDescent="0.25">
      <c r="A108" s="82"/>
      <c r="B108" s="88"/>
      <c r="C108" s="93"/>
      <c r="D108" s="90"/>
      <c r="E108" s="89"/>
      <c r="F108" s="89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2"/>
      <c r="U108" s="82"/>
    </row>
    <row r="109" spans="1:21" x14ac:dyDescent="0.25">
      <c r="A109" s="82"/>
      <c r="B109" s="88"/>
      <c r="C109" s="89" t="s">
        <v>413</v>
      </c>
      <c r="D109" s="90">
        <f>D103</f>
        <v>0.22915694188985516</v>
      </c>
      <c r="E109" s="89"/>
      <c r="F109" s="89"/>
      <c r="G109" s="79">
        <f>(G$48)*$D109</f>
        <v>-137809.1917650679</v>
      </c>
      <c r="H109" s="79">
        <f t="shared" ref="H109:S109" si="46">(H$48)*$D109</f>
        <v>-148861.55481716423</v>
      </c>
      <c r="I109" s="79">
        <f t="shared" si="46"/>
        <v>-159913.21435744895</v>
      </c>
      <c r="J109" s="79">
        <f t="shared" si="46"/>
        <v>-170137.05361143424</v>
      </c>
      <c r="K109" s="79">
        <f t="shared" si="46"/>
        <v>-168413.22051606781</v>
      </c>
      <c r="L109" s="79">
        <f t="shared" si="46"/>
        <v>-179479.6331802714</v>
      </c>
      <c r="M109" s="79">
        <f t="shared" si="46"/>
        <v>-190450.49656598465</v>
      </c>
      <c r="N109" s="79">
        <f t="shared" si="46"/>
        <v>-201411.78348309625</v>
      </c>
      <c r="O109" s="79">
        <f t="shared" si="46"/>
        <v>-212411.43127228026</v>
      </c>
      <c r="P109" s="79">
        <f t="shared" si="46"/>
        <v>-216078.65502060726</v>
      </c>
      <c r="Q109" s="79">
        <f t="shared" si="46"/>
        <v>-227136.83407588876</v>
      </c>
      <c r="R109" s="79">
        <f t="shared" si="46"/>
        <v>-238133.55553092482</v>
      </c>
      <c r="S109" s="79">
        <f t="shared" si="46"/>
        <v>-208850.24760724342</v>
      </c>
      <c r="T109" s="92"/>
      <c r="U109" s="82"/>
    </row>
    <row r="110" spans="1:21" x14ac:dyDescent="0.25">
      <c r="A110" s="82"/>
      <c r="B110" s="88"/>
      <c r="C110" s="89"/>
      <c r="D110" s="99"/>
      <c r="E110" s="89" t="s">
        <v>396</v>
      </c>
      <c r="F110" s="89"/>
      <c r="G110" s="91">
        <f>G109</f>
        <v>-137809.1917650679</v>
      </c>
      <c r="H110" s="91">
        <f t="shared" ref="H110:S110" si="47">H109</f>
        <v>-148861.55481716423</v>
      </c>
      <c r="I110" s="91">
        <f t="shared" si="47"/>
        <v>-159913.21435744895</v>
      </c>
      <c r="J110" s="91">
        <f t="shared" si="47"/>
        <v>-170137.05361143424</v>
      </c>
      <c r="K110" s="91">
        <f t="shared" si="47"/>
        <v>-168413.22051606781</v>
      </c>
      <c r="L110" s="91">
        <f t="shared" si="47"/>
        <v>-179479.6331802714</v>
      </c>
      <c r="M110" s="91">
        <f t="shared" si="47"/>
        <v>-190450.49656598465</v>
      </c>
      <c r="N110" s="91">
        <f t="shared" si="47"/>
        <v>-201411.78348309625</v>
      </c>
      <c r="O110" s="91">
        <f t="shared" si="47"/>
        <v>-212411.43127228026</v>
      </c>
      <c r="P110" s="91">
        <f t="shared" si="47"/>
        <v>-216078.65502060726</v>
      </c>
      <c r="Q110" s="91">
        <f t="shared" si="47"/>
        <v>-227136.83407588876</v>
      </c>
      <c r="R110" s="91">
        <f t="shared" si="47"/>
        <v>-238133.55553092482</v>
      </c>
      <c r="S110" s="91">
        <f t="shared" si="47"/>
        <v>-208850.24760724342</v>
      </c>
      <c r="T110" s="92">
        <f>SUM(G110:S110)/13</f>
        <v>-189160.52860026763</v>
      </c>
      <c r="U110" s="82"/>
    </row>
    <row r="111" spans="1:21" x14ac:dyDescent="0.25">
      <c r="A111" s="82"/>
      <c r="B111" s="88"/>
      <c r="C111" s="89"/>
      <c r="D111" s="100"/>
      <c r="E111" s="89"/>
      <c r="F111" s="89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2"/>
      <c r="U111" s="82"/>
    </row>
    <row r="112" spans="1:21" ht="15.75" thickBot="1" x14ac:dyDescent="0.3">
      <c r="A112" s="82"/>
      <c r="B112" s="94"/>
      <c r="C112" s="95"/>
      <c r="D112" s="101"/>
      <c r="E112" s="95"/>
      <c r="F112" s="95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102"/>
      <c r="U112" s="82"/>
    </row>
    <row r="113" spans="1:21" x14ac:dyDescent="0.25">
      <c r="A113" s="82"/>
      <c r="B113" s="82"/>
      <c r="C113" s="103"/>
      <c r="D113" s="103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</row>
    <row r="115" spans="1:21" x14ac:dyDescent="0.25">
      <c r="D115" s="131">
        <f>+D103+D94+D85+D76+D67+D58</f>
        <v>1</v>
      </c>
      <c r="E115" t="s">
        <v>463</v>
      </c>
      <c r="T115" s="105">
        <f>+T59+T68+T77+T86+T95+T104</f>
        <v>12213654.398461539</v>
      </c>
    </row>
    <row r="116" spans="1:21" x14ac:dyDescent="0.25">
      <c r="E116" t="s">
        <v>464</v>
      </c>
      <c r="T116" s="105">
        <f>+T62+T71+T80+T89+T98+T107</f>
        <v>630.76923076923072</v>
      </c>
    </row>
    <row r="117" spans="1:21" x14ac:dyDescent="0.25">
      <c r="E117" t="s">
        <v>465</v>
      </c>
      <c r="T117" s="105">
        <f>+T65+T74+T83+T92+T101+T110</f>
        <v>-825462.7899999998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7"/>
  <sheetViews>
    <sheetView topLeftCell="H34" workbookViewId="0">
      <selection activeCell="R41" sqref="R41"/>
    </sheetView>
  </sheetViews>
  <sheetFormatPr defaultRowHeight="15" x14ac:dyDescent="0.25"/>
  <cols>
    <col min="1" max="1" width="3" customWidth="1"/>
    <col min="2" max="2" width="16.42578125" customWidth="1"/>
    <col min="3" max="3" width="47.42578125" bestFit="1" customWidth="1"/>
    <col min="4" max="4" width="15.85546875" style="13" customWidth="1"/>
    <col min="5" max="5" width="17.85546875" customWidth="1"/>
    <col min="6" max="6" width="4.42578125" customWidth="1"/>
    <col min="7" max="7" width="13" customWidth="1"/>
    <col min="8" max="8" width="12.140625" customWidth="1"/>
    <col min="9" max="9" width="12.7109375" customWidth="1"/>
    <col min="10" max="10" width="13.42578125" customWidth="1"/>
    <col min="11" max="11" width="11.28515625" customWidth="1"/>
    <col min="12" max="12" width="12.28515625" customWidth="1"/>
    <col min="13" max="13" width="13.7109375" customWidth="1"/>
    <col min="14" max="14" width="13.5703125" customWidth="1"/>
    <col min="15" max="15" width="11.42578125" customWidth="1"/>
    <col min="16" max="16" width="13.5703125" customWidth="1"/>
    <col min="17" max="17" width="12.7109375" customWidth="1"/>
    <col min="18" max="18" width="12.85546875" customWidth="1"/>
    <col min="19" max="19" width="14.140625" customWidth="1"/>
    <col min="20" max="20" width="11.85546875" customWidth="1"/>
    <col min="21" max="21" width="3.28515625" customWidth="1"/>
    <col min="24" max="24" width="17" bestFit="1" customWidth="1"/>
  </cols>
  <sheetData>
    <row r="1" spans="1:26" x14ac:dyDescent="0.25">
      <c r="A1" t="s">
        <v>373</v>
      </c>
    </row>
    <row r="2" spans="1:26" x14ac:dyDescent="0.25">
      <c r="A2" t="s">
        <v>374</v>
      </c>
    </row>
    <row r="5" spans="1:26" x14ac:dyDescent="0.25">
      <c r="B5" t="s">
        <v>375</v>
      </c>
      <c r="C5" t="s">
        <v>376</v>
      </c>
      <c r="D5" s="13" t="s">
        <v>377</v>
      </c>
      <c r="E5" t="s">
        <v>378</v>
      </c>
      <c r="G5" s="65">
        <v>44544</v>
      </c>
      <c r="H5" s="65">
        <v>44574</v>
      </c>
      <c r="I5" s="65">
        <f>H5+30</f>
        <v>44604</v>
      </c>
      <c r="J5" s="65">
        <f t="shared" ref="J5:S5" si="0">I5+30</f>
        <v>44634</v>
      </c>
      <c r="K5" s="65">
        <f t="shared" si="0"/>
        <v>44664</v>
      </c>
      <c r="L5" s="65">
        <f t="shared" si="0"/>
        <v>44694</v>
      </c>
      <c r="M5" s="65">
        <f t="shared" si="0"/>
        <v>44724</v>
      </c>
      <c r="N5" s="65">
        <f t="shared" si="0"/>
        <v>44754</v>
      </c>
      <c r="O5" s="65">
        <f t="shared" si="0"/>
        <v>44784</v>
      </c>
      <c r="P5" s="65">
        <f t="shared" si="0"/>
        <v>44814</v>
      </c>
      <c r="Q5" s="65">
        <f t="shared" si="0"/>
        <v>44844</v>
      </c>
      <c r="R5" s="65">
        <f t="shared" si="0"/>
        <v>44874</v>
      </c>
      <c r="S5" s="65">
        <f t="shared" si="0"/>
        <v>44904</v>
      </c>
      <c r="T5" s="66" t="s">
        <v>379</v>
      </c>
    </row>
    <row r="6" spans="1:26" x14ac:dyDescent="0.25">
      <c r="C6" s="67" t="s">
        <v>380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</row>
    <row r="7" spans="1:26" x14ac:dyDescent="0.25"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6"/>
    </row>
    <row r="8" spans="1:26" x14ac:dyDescent="0.25">
      <c r="B8" t="s">
        <v>381</v>
      </c>
      <c r="C8" t="s">
        <v>382</v>
      </c>
      <c r="D8" s="13" t="s">
        <v>71</v>
      </c>
      <c r="E8" t="s">
        <v>383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>
        <f>SUM(G8:S8)/13</f>
        <v>0</v>
      </c>
      <c r="U8" s="68"/>
      <c r="V8" s="68"/>
      <c r="W8" s="68"/>
      <c r="X8" s="68"/>
      <c r="Y8" s="68"/>
      <c r="Z8" s="68"/>
    </row>
    <row r="9" spans="1:26" x14ac:dyDescent="0.25">
      <c r="C9" s="69"/>
      <c r="D9" s="70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x14ac:dyDescent="0.25">
      <c r="G10" s="71">
        <f t="shared" ref="G10:T10" si="1">SUM(G8:G9)</f>
        <v>0</v>
      </c>
      <c r="H10" s="71">
        <f t="shared" si="1"/>
        <v>0</v>
      </c>
      <c r="I10" s="71">
        <f t="shared" si="1"/>
        <v>0</v>
      </c>
      <c r="J10" s="71">
        <f t="shared" si="1"/>
        <v>0</v>
      </c>
      <c r="K10" s="71">
        <f t="shared" si="1"/>
        <v>0</v>
      </c>
      <c r="L10" s="71">
        <f t="shared" si="1"/>
        <v>0</v>
      </c>
      <c r="M10" s="71">
        <f t="shared" si="1"/>
        <v>0</v>
      </c>
      <c r="N10" s="71">
        <f t="shared" si="1"/>
        <v>0</v>
      </c>
      <c r="O10" s="71">
        <f t="shared" si="1"/>
        <v>0</v>
      </c>
      <c r="P10" s="71">
        <f t="shared" si="1"/>
        <v>0</v>
      </c>
      <c r="Q10" s="72">
        <f t="shared" si="1"/>
        <v>0</v>
      </c>
      <c r="R10" s="72">
        <f t="shared" si="1"/>
        <v>0</v>
      </c>
      <c r="S10" s="72">
        <f t="shared" si="1"/>
        <v>0</v>
      </c>
      <c r="T10" s="72">
        <f t="shared" si="1"/>
        <v>0</v>
      </c>
      <c r="U10" s="68"/>
      <c r="V10" s="68"/>
      <c r="W10" s="68"/>
      <c r="X10" s="68"/>
      <c r="Y10" s="68"/>
      <c r="Z10" s="68"/>
    </row>
    <row r="11" spans="1:26" x14ac:dyDescent="0.25"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73"/>
      <c r="R11" s="73"/>
      <c r="S11" s="73"/>
      <c r="T11" s="73"/>
      <c r="U11" s="68"/>
      <c r="V11" s="68"/>
      <c r="W11" s="68"/>
      <c r="X11" s="68"/>
      <c r="Y11" s="68"/>
      <c r="Z11" s="68"/>
    </row>
    <row r="12" spans="1:26" x14ac:dyDescent="0.25"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73"/>
      <c r="R12" s="73"/>
      <c r="S12" s="73"/>
      <c r="T12" s="73"/>
      <c r="U12" s="68"/>
      <c r="V12" s="68"/>
      <c r="W12" s="68"/>
      <c r="X12" s="68"/>
      <c r="Y12" s="68"/>
      <c r="Z12" s="68"/>
    </row>
    <row r="13" spans="1:26" x14ac:dyDescent="0.25">
      <c r="C13" s="67" t="s">
        <v>384</v>
      </c>
      <c r="D13" s="13">
        <v>10101010</v>
      </c>
      <c r="E13" t="s">
        <v>385</v>
      </c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73">
        <f t="shared" ref="T13:T25" si="2">SUM(G13:S13)/13</f>
        <v>0</v>
      </c>
      <c r="U13" s="68"/>
      <c r="V13" s="68"/>
      <c r="W13" s="68"/>
      <c r="X13" s="68"/>
      <c r="Y13" s="68"/>
      <c r="Z13" s="68"/>
    </row>
    <row r="14" spans="1:26" x14ac:dyDescent="0.25">
      <c r="C14" t="s">
        <v>386</v>
      </c>
      <c r="D14" s="13" t="s">
        <v>44</v>
      </c>
      <c r="E14" t="s">
        <v>385</v>
      </c>
      <c r="G14" s="68">
        <v>596857.97</v>
      </c>
      <c r="H14" s="68">
        <v>596857.97</v>
      </c>
      <c r="I14" s="68">
        <v>596857.97</v>
      </c>
      <c r="J14" s="68">
        <v>596857.97</v>
      </c>
      <c r="K14" s="68">
        <v>596857.97</v>
      </c>
      <c r="L14" s="68">
        <v>596857.97</v>
      </c>
      <c r="M14" s="68">
        <v>596857.97</v>
      </c>
      <c r="N14" s="68">
        <v>596857.97</v>
      </c>
      <c r="O14" s="68">
        <v>596857.97</v>
      </c>
      <c r="P14" s="68">
        <v>596857.97</v>
      </c>
      <c r="Q14" s="68">
        <v>596857.97</v>
      </c>
      <c r="R14" s="68">
        <v>596857.97</v>
      </c>
      <c r="S14" s="68">
        <v>596857.97</v>
      </c>
      <c r="T14" s="73">
        <f t="shared" si="2"/>
        <v>596857.96999999986</v>
      </c>
      <c r="U14" s="68"/>
      <c r="V14" s="68"/>
      <c r="W14" s="68"/>
      <c r="X14" s="68"/>
      <c r="Y14" s="68"/>
      <c r="Z14" s="68"/>
    </row>
    <row r="15" spans="1:26" x14ac:dyDescent="0.25">
      <c r="C15" t="s">
        <v>387</v>
      </c>
      <c r="D15" s="13" t="s">
        <v>46</v>
      </c>
      <c r="E15" t="s">
        <v>385</v>
      </c>
      <c r="G15" s="68">
        <v>7746101.1600000001</v>
      </c>
      <c r="H15" s="68">
        <v>7746101.1600000001</v>
      </c>
      <c r="I15" s="68">
        <v>7746101.1600000001</v>
      </c>
      <c r="J15" s="68">
        <v>7746101.1600000001</v>
      </c>
      <c r="K15" s="68">
        <v>7746101.1600000001</v>
      </c>
      <c r="L15" s="68">
        <v>7746101.1600000001</v>
      </c>
      <c r="M15" s="68">
        <v>7746101.1600000001</v>
      </c>
      <c r="N15" s="68">
        <v>7746101.1600000001</v>
      </c>
      <c r="O15" s="68">
        <v>7746101.1600000001</v>
      </c>
      <c r="P15" s="68">
        <v>7746101.1600000001</v>
      </c>
      <c r="Q15" s="68">
        <v>7746101.1600000001</v>
      </c>
      <c r="R15" s="68">
        <v>7746101.1600000001</v>
      </c>
      <c r="S15" s="68">
        <v>7746101.1600000001</v>
      </c>
      <c r="T15" s="73">
        <f t="shared" si="2"/>
        <v>7746101.1599999974</v>
      </c>
      <c r="U15" s="68"/>
      <c r="V15" s="68"/>
      <c r="W15" s="68"/>
      <c r="X15" s="68"/>
      <c r="Y15" s="68"/>
      <c r="Z15" s="68"/>
    </row>
    <row r="16" spans="1:26" x14ac:dyDescent="0.25">
      <c r="C16" t="s">
        <v>388</v>
      </c>
      <c r="D16" s="13" t="s">
        <v>48</v>
      </c>
      <c r="E16" t="s">
        <v>385</v>
      </c>
      <c r="G16" s="68">
        <v>742002.67</v>
      </c>
      <c r="H16" s="68">
        <v>742002.67</v>
      </c>
      <c r="I16" s="68">
        <v>742002.67</v>
      </c>
      <c r="J16" s="68">
        <v>742002.67</v>
      </c>
      <c r="K16" s="68">
        <v>742002.67</v>
      </c>
      <c r="L16" s="68">
        <v>742002.67</v>
      </c>
      <c r="M16" s="68">
        <v>742002.67</v>
      </c>
      <c r="N16" s="68">
        <v>742002.67</v>
      </c>
      <c r="O16" s="68">
        <v>742002.67</v>
      </c>
      <c r="P16" s="68">
        <v>742002.67</v>
      </c>
      <c r="Q16" s="68">
        <v>742002.67</v>
      </c>
      <c r="R16" s="68">
        <v>742002.67</v>
      </c>
      <c r="S16" s="68">
        <v>742002.67</v>
      </c>
      <c r="T16" s="73">
        <f t="shared" si="2"/>
        <v>742002.67</v>
      </c>
      <c r="U16" s="68"/>
      <c r="V16" s="68"/>
      <c r="W16" s="68"/>
      <c r="X16" s="68"/>
      <c r="Y16" s="68"/>
      <c r="Z16" s="68"/>
    </row>
    <row r="17" spans="2:26" x14ac:dyDescent="0.25">
      <c r="C17" t="s">
        <v>382</v>
      </c>
      <c r="D17" s="13">
        <v>10103912</v>
      </c>
      <c r="E17" t="s">
        <v>385</v>
      </c>
      <c r="G17" s="68">
        <v>41832.54</v>
      </c>
      <c r="H17" s="68">
        <v>41832.54</v>
      </c>
      <c r="I17" s="68">
        <v>41832.54</v>
      </c>
      <c r="J17" s="68">
        <v>41832.54</v>
      </c>
      <c r="K17" s="68">
        <v>41832.54</v>
      </c>
      <c r="L17" s="68">
        <v>41832.54</v>
      </c>
      <c r="M17" s="68">
        <v>41832.54</v>
      </c>
      <c r="N17" s="68">
        <v>41832.54</v>
      </c>
      <c r="O17" s="68">
        <v>41832.54</v>
      </c>
      <c r="P17" s="68">
        <v>41832.54</v>
      </c>
      <c r="Q17" s="68">
        <v>41832.54</v>
      </c>
      <c r="R17" s="68">
        <v>41832.54</v>
      </c>
      <c r="S17" s="68">
        <v>41832.54</v>
      </c>
      <c r="T17" s="73">
        <f t="shared" si="2"/>
        <v>41832.539999999994</v>
      </c>
      <c r="U17" s="68"/>
      <c r="V17" s="68"/>
      <c r="W17" s="68"/>
      <c r="X17" s="68"/>
      <c r="Y17" s="68"/>
      <c r="Z17" s="68"/>
    </row>
    <row r="18" spans="2:26" x14ac:dyDescent="0.25">
      <c r="C18" t="s">
        <v>389</v>
      </c>
      <c r="D18" s="13" t="s">
        <v>52</v>
      </c>
      <c r="E18" t="s">
        <v>385</v>
      </c>
      <c r="G18" s="68">
        <v>432439.96</v>
      </c>
      <c r="H18" s="68">
        <v>432439.96</v>
      </c>
      <c r="I18" s="68">
        <v>432439.96</v>
      </c>
      <c r="J18" s="68">
        <v>432439.96</v>
      </c>
      <c r="K18" s="68">
        <v>432439.96</v>
      </c>
      <c r="L18" s="68">
        <v>432439.96</v>
      </c>
      <c r="M18" s="68">
        <v>432439.96</v>
      </c>
      <c r="N18" s="68">
        <v>432439.96</v>
      </c>
      <c r="O18" s="68">
        <v>432439.96</v>
      </c>
      <c r="P18" s="68">
        <v>432439.96</v>
      </c>
      <c r="Q18" s="68">
        <v>432439.96</v>
      </c>
      <c r="R18" s="68">
        <v>432439.96</v>
      </c>
      <c r="S18" s="68">
        <v>432439.96</v>
      </c>
      <c r="T18" s="73">
        <f t="shared" si="2"/>
        <v>432439.96</v>
      </c>
      <c r="U18" s="68"/>
      <c r="V18" s="68"/>
      <c r="W18" s="68"/>
      <c r="X18" s="68"/>
      <c r="Y18" s="68"/>
      <c r="Z18" s="68"/>
    </row>
    <row r="19" spans="2:26" x14ac:dyDescent="0.25">
      <c r="C19" t="s">
        <v>390</v>
      </c>
      <c r="D19" s="13" t="s">
        <v>54</v>
      </c>
      <c r="E19" t="s">
        <v>385</v>
      </c>
      <c r="G19" s="68">
        <v>936225.38</v>
      </c>
      <c r="H19" s="68">
        <v>936225.38</v>
      </c>
      <c r="I19" s="68">
        <v>936225.38</v>
      </c>
      <c r="J19" s="68">
        <v>936225.38</v>
      </c>
      <c r="K19" s="68">
        <v>936225.38</v>
      </c>
      <c r="L19" s="68">
        <v>936225.38</v>
      </c>
      <c r="M19" s="68">
        <v>936225.38</v>
      </c>
      <c r="N19" s="68">
        <v>936225.38</v>
      </c>
      <c r="O19" s="68">
        <v>936225.38</v>
      </c>
      <c r="P19" s="68">
        <v>936225.38</v>
      </c>
      <c r="Q19" s="68">
        <v>936225.38</v>
      </c>
      <c r="R19" s="68">
        <v>936225.38</v>
      </c>
      <c r="S19" s="68">
        <v>936225.38</v>
      </c>
      <c r="T19" s="73">
        <f t="shared" si="2"/>
        <v>936225.38000000024</v>
      </c>
      <c r="U19" s="68"/>
      <c r="V19" s="68"/>
      <c r="W19" s="68"/>
      <c r="X19" s="68"/>
      <c r="Y19" s="68"/>
      <c r="Z19" s="68"/>
    </row>
    <row r="20" spans="2:26" x14ac:dyDescent="0.25">
      <c r="C20" t="s">
        <v>391</v>
      </c>
      <c r="D20" s="13" t="s">
        <v>56</v>
      </c>
      <c r="E20" t="s">
        <v>385</v>
      </c>
      <c r="G20" s="68">
        <v>258116.52000000002</v>
      </c>
      <c r="H20" s="68">
        <v>258116.52000000002</v>
      </c>
      <c r="I20" s="68">
        <v>258116.52000000002</v>
      </c>
      <c r="J20" s="68">
        <v>258116.52000000002</v>
      </c>
      <c r="K20" s="68">
        <v>258116.52000000002</v>
      </c>
      <c r="L20" s="68">
        <v>258116.52000000002</v>
      </c>
      <c r="M20" s="68">
        <v>258116.52000000002</v>
      </c>
      <c r="N20" s="68">
        <v>258116.52000000002</v>
      </c>
      <c r="O20" s="68">
        <v>258116.52000000002</v>
      </c>
      <c r="P20" s="68">
        <v>258116.52000000002</v>
      </c>
      <c r="Q20" s="68">
        <v>258116.52000000002</v>
      </c>
      <c r="R20" s="68">
        <v>258116.52000000002</v>
      </c>
      <c r="S20" s="68">
        <v>258116.52000000002</v>
      </c>
      <c r="T20" s="73">
        <f t="shared" si="2"/>
        <v>258116.52000000002</v>
      </c>
      <c r="U20" s="68"/>
      <c r="V20" s="68"/>
      <c r="W20" s="68"/>
      <c r="X20" s="68"/>
      <c r="Y20" s="68"/>
      <c r="Z20" s="68"/>
    </row>
    <row r="21" spans="2:26" x14ac:dyDescent="0.25">
      <c r="C21" t="s">
        <v>392</v>
      </c>
      <c r="D21" s="13" t="s">
        <v>58</v>
      </c>
      <c r="E21" t="s">
        <v>385</v>
      </c>
      <c r="G21" s="68">
        <v>763765.58</v>
      </c>
      <c r="H21" s="68">
        <v>763765.58</v>
      </c>
      <c r="I21" s="68">
        <v>763765.58</v>
      </c>
      <c r="J21" s="68">
        <v>763765.58</v>
      </c>
      <c r="K21" s="68">
        <v>763765.58</v>
      </c>
      <c r="L21" s="68">
        <v>763765.58</v>
      </c>
      <c r="M21" s="68">
        <v>763765.58</v>
      </c>
      <c r="N21" s="68">
        <v>763765.58</v>
      </c>
      <c r="O21" s="68">
        <v>763765.58</v>
      </c>
      <c r="P21" s="68">
        <v>763765.58</v>
      </c>
      <c r="Q21" s="68">
        <v>763765.58</v>
      </c>
      <c r="R21" s="68">
        <v>763765.58</v>
      </c>
      <c r="S21" s="68">
        <v>763765.58</v>
      </c>
      <c r="T21" s="73">
        <f t="shared" si="2"/>
        <v>763765.58</v>
      </c>
      <c r="U21" s="68"/>
      <c r="V21" s="68"/>
      <c r="W21" s="68"/>
      <c r="X21" s="68"/>
      <c r="Y21" s="68"/>
      <c r="Z21" s="68"/>
    </row>
    <row r="22" spans="2:26" x14ac:dyDescent="0.25">
      <c r="C22" t="s">
        <v>59</v>
      </c>
      <c r="D22" s="13" t="s">
        <v>60</v>
      </c>
      <c r="E22" t="s">
        <v>385</v>
      </c>
      <c r="G22" s="68">
        <v>640740.72</v>
      </c>
      <c r="H22" s="68">
        <v>640740.72</v>
      </c>
      <c r="I22" s="68">
        <v>640740.72</v>
      </c>
      <c r="J22" s="68">
        <v>640740.72</v>
      </c>
      <c r="K22" s="68">
        <v>640740.72</v>
      </c>
      <c r="L22" s="68">
        <v>640740.72</v>
      </c>
      <c r="M22" s="68">
        <v>640740.72</v>
      </c>
      <c r="N22" s="68">
        <v>640740.72</v>
      </c>
      <c r="O22" s="68">
        <v>640740.72</v>
      </c>
      <c r="P22" s="68">
        <v>640740.72</v>
      </c>
      <c r="Q22" s="68">
        <v>640740.72</v>
      </c>
      <c r="R22" s="68">
        <v>640740.72</v>
      </c>
      <c r="S22" s="68">
        <v>640740.72</v>
      </c>
      <c r="T22" s="73">
        <f t="shared" si="2"/>
        <v>640740.71999999986</v>
      </c>
      <c r="U22" s="68"/>
      <c r="V22" s="68"/>
      <c r="W22" s="68"/>
      <c r="X22" s="68"/>
      <c r="Y22" s="68"/>
      <c r="Z22" s="68"/>
    </row>
    <row r="23" spans="2:26" x14ac:dyDescent="0.25">
      <c r="C23" t="s">
        <v>61</v>
      </c>
      <c r="D23" s="13" t="s">
        <v>62</v>
      </c>
      <c r="E23" t="s">
        <v>385</v>
      </c>
      <c r="G23" s="68">
        <v>32922.449999999997</v>
      </c>
      <c r="H23" s="68">
        <v>32922.449999999997</v>
      </c>
      <c r="I23" s="68">
        <v>32922.449999999997</v>
      </c>
      <c r="J23" s="68">
        <v>32922.449999999997</v>
      </c>
      <c r="K23" s="68">
        <v>32922.449999999997</v>
      </c>
      <c r="L23" s="68">
        <v>32922.449999999997</v>
      </c>
      <c r="M23" s="68">
        <v>32922.449999999997</v>
      </c>
      <c r="N23" s="68">
        <v>32922.449999999997</v>
      </c>
      <c r="O23" s="68">
        <v>32922.449999999997</v>
      </c>
      <c r="P23" s="68">
        <v>32922.449999999997</v>
      </c>
      <c r="Q23" s="68">
        <v>32922.449999999997</v>
      </c>
      <c r="R23" s="68">
        <v>32922.449999999997</v>
      </c>
      <c r="S23" s="68">
        <v>32922.449999999997</v>
      </c>
      <c r="T23" s="73">
        <f t="shared" si="2"/>
        <v>32922.450000000004</v>
      </c>
      <c r="U23" s="68"/>
      <c r="V23" s="68"/>
      <c r="W23" s="68"/>
      <c r="X23" s="68"/>
      <c r="Y23" s="68"/>
      <c r="Z23" s="68"/>
    </row>
    <row r="24" spans="2:26" x14ac:dyDescent="0.25">
      <c r="C24" t="s">
        <v>393</v>
      </c>
      <c r="D24" s="13" t="s">
        <v>64</v>
      </c>
      <c r="E24" t="s">
        <v>385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0</v>
      </c>
      <c r="T24" s="74">
        <f t="shared" si="2"/>
        <v>0</v>
      </c>
      <c r="U24" s="68"/>
      <c r="V24" s="68"/>
      <c r="W24" s="68"/>
      <c r="X24" s="68"/>
      <c r="Y24" s="68"/>
      <c r="Z24" s="68"/>
    </row>
    <row r="25" spans="2:26" x14ac:dyDescent="0.25">
      <c r="C25" t="s">
        <v>394</v>
      </c>
      <c r="D25" s="13" t="s">
        <v>395</v>
      </c>
      <c r="E25" t="s">
        <v>385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75">
        <f t="shared" si="2"/>
        <v>0</v>
      </c>
      <c r="U25" s="68"/>
      <c r="V25" s="68"/>
      <c r="W25" s="68"/>
      <c r="X25" s="68"/>
      <c r="Y25" s="68"/>
      <c r="Z25" s="68"/>
    </row>
    <row r="26" spans="2:26" x14ac:dyDescent="0.25">
      <c r="G26" s="76">
        <f t="shared" ref="G26:T26" si="3">SUM(G13:G25)</f>
        <v>12191004.950000001</v>
      </c>
      <c r="H26" s="76">
        <f t="shared" si="3"/>
        <v>12191004.950000001</v>
      </c>
      <c r="I26" s="76">
        <f t="shared" si="3"/>
        <v>12191004.950000001</v>
      </c>
      <c r="J26" s="76">
        <f t="shared" si="3"/>
        <v>12191004.950000001</v>
      </c>
      <c r="K26" s="76">
        <f t="shared" si="3"/>
        <v>12191004.950000001</v>
      </c>
      <c r="L26" s="76">
        <f t="shared" si="3"/>
        <v>12191004.950000001</v>
      </c>
      <c r="M26" s="76">
        <f t="shared" si="3"/>
        <v>12191004.950000001</v>
      </c>
      <c r="N26" s="76">
        <f t="shared" si="3"/>
        <v>12191004.950000001</v>
      </c>
      <c r="O26" s="76">
        <f t="shared" si="3"/>
        <v>12191004.950000001</v>
      </c>
      <c r="P26" s="76">
        <f t="shared" si="3"/>
        <v>12191004.950000001</v>
      </c>
      <c r="Q26" s="76">
        <f t="shared" si="3"/>
        <v>12191004.950000001</v>
      </c>
      <c r="R26" s="76">
        <f t="shared" si="3"/>
        <v>12191004.950000001</v>
      </c>
      <c r="S26" s="76">
        <f t="shared" si="3"/>
        <v>12191004.950000001</v>
      </c>
      <c r="T26" s="76">
        <f t="shared" si="3"/>
        <v>12191004.949999997</v>
      </c>
      <c r="U26" s="68"/>
      <c r="V26" s="68"/>
      <c r="W26" s="68"/>
      <c r="X26" s="68"/>
      <c r="Y26" s="68"/>
      <c r="Z26" s="68"/>
    </row>
    <row r="27" spans="2:26" x14ac:dyDescent="0.25"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2:26" x14ac:dyDescent="0.25"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73"/>
      <c r="R28" s="73"/>
      <c r="S28" s="73"/>
      <c r="T28" s="73"/>
      <c r="U28" s="68"/>
      <c r="V28" s="68"/>
      <c r="W28" s="68"/>
      <c r="X28" s="68"/>
      <c r="Y28" s="68"/>
      <c r="Z28" s="68"/>
    </row>
    <row r="29" spans="2:26" x14ac:dyDescent="0.25">
      <c r="G29" s="77">
        <f>G26</f>
        <v>12191004.950000001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5">
        <f>SUM(G29:S29)/13</f>
        <v>937769.61153846164</v>
      </c>
      <c r="U29" s="68"/>
      <c r="V29" s="68"/>
      <c r="W29" s="68"/>
      <c r="X29" s="68"/>
      <c r="Y29" s="68"/>
      <c r="Z29" s="68"/>
    </row>
    <row r="30" spans="2:26" x14ac:dyDescent="0.25">
      <c r="G30" s="68">
        <f>G29-G26-G10</f>
        <v>0</v>
      </c>
      <c r="H30" s="68">
        <f t="shared" ref="H30:T30" si="4">H29-H26-H10</f>
        <v>-12191004.950000001</v>
      </c>
      <c r="I30" s="68">
        <f t="shared" si="4"/>
        <v>-12191004.950000001</v>
      </c>
      <c r="J30" s="68">
        <f t="shared" si="4"/>
        <v>-12191004.950000001</v>
      </c>
      <c r="K30" s="68">
        <f t="shared" si="4"/>
        <v>-12191004.950000001</v>
      </c>
      <c r="L30" s="68">
        <f t="shared" si="4"/>
        <v>-12191004.950000001</v>
      </c>
      <c r="M30" s="68">
        <f t="shared" si="4"/>
        <v>-12191004.950000001</v>
      </c>
      <c r="N30" s="68">
        <f t="shared" si="4"/>
        <v>-12191004.950000001</v>
      </c>
      <c r="O30" s="68">
        <f t="shared" si="4"/>
        <v>-12191004.950000001</v>
      </c>
      <c r="P30" s="68">
        <f t="shared" si="4"/>
        <v>-12191004.950000001</v>
      </c>
      <c r="Q30" s="68">
        <f t="shared" si="4"/>
        <v>-12191004.950000001</v>
      </c>
      <c r="R30" s="68">
        <f t="shared" si="4"/>
        <v>-12191004.950000001</v>
      </c>
      <c r="S30" s="68">
        <f t="shared" si="4"/>
        <v>-12191004.950000001</v>
      </c>
      <c r="T30" s="68">
        <f t="shared" si="4"/>
        <v>-11253235.338461535</v>
      </c>
      <c r="U30" s="68"/>
      <c r="V30" s="68"/>
      <c r="W30" s="68"/>
      <c r="X30" s="68"/>
      <c r="Y30" s="68"/>
      <c r="Z30" s="68"/>
    </row>
    <row r="31" spans="2:26" x14ac:dyDescent="0.25">
      <c r="B31" t="s">
        <v>396</v>
      </c>
      <c r="C31" s="67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3"/>
      <c r="U31" s="68"/>
      <c r="V31" s="68"/>
      <c r="W31" s="68"/>
      <c r="X31" s="68"/>
      <c r="Y31" s="68"/>
      <c r="Z31" s="68"/>
    </row>
    <row r="32" spans="2:26" x14ac:dyDescent="0.25"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73"/>
      <c r="R32" s="73"/>
      <c r="S32" s="73"/>
      <c r="T32" s="73"/>
      <c r="U32" s="68"/>
      <c r="V32" s="68"/>
      <c r="W32" s="68"/>
      <c r="X32" s="68"/>
      <c r="Y32" s="68"/>
      <c r="Z32" s="68"/>
    </row>
    <row r="33" spans="3:26" x14ac:dyDescent="0.25"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73"/>
      <c r="R33" s="73"/>
      <c r="S33" s="73"/>
      <c r="T33" s="73"/>
      <c r="U33" s="68"/>
      <c r="V33" s="68"/>
      <c r="W33" s="68"/>
      <c r="X33" s="68"/>
      <c r="Y33" s="68"/>
      <c r="Z33" s="68"/>
    </row>
    <row r="34" spans="3:26" x14ac:dyDescent="0.25">
      <c r="C34" s="67" t="s">
        <v>397</v>
      </c>
      <c r="D34" s="13">
        <v>10801080</v>
      </c>
      <c r="E34" t="s">
        <v>398</v>
      </c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73">
        <f t="shared" ref="T34" si="5">SUM(G34:S34)/13</f>
        <v>0</v>
      </c>
      <c r="U34" s="68"/>
      <c r="V34" s="68"/>
      <c r="W34" s="68"/>
      <c r="X34" s="68"/>
      <c r="Y34" s="68"/>
      <c r="Z34" s="68"/>
    </row>
    <row r="35" spans="3:26" x14ac:dyDescent="0.25">
      <c r="C35" t="s">
        <v>399</v>
      </c>
      <c r="D35" s="13" t="s">
        <v>76</v>
      </c>
      <c r="E35" t="s">
        <v>385</v>
      </c>
      <c r="G35" s="68">
        <f>'FC common plant 21'!S35</f>
        <v>-420142.72</v>
      </c>
      <c r="H35" s="68">
        <f>G35-'FC depreciation adjustment 22'!B4</f>
        <v>-434989.39882725693</v>
      </c>
      <c r="I35" s="68">
        <f>H35-'FC depreciation adjustment 22'!C4</f>
        <v>-449836.07765451388</v>
      </c>
      <c r="J35" s="68">
        <f>I35-'FC depreciation adjustment 22'!D4</f>
        <v>-464682.75648177083</v>
      </c>
      <c r="K35" s="68">
        <f>J35-'FC depreciation adjustment 22'!E4</f>
        <v>-479529.43530902779</v>
      </c>
      <c r="L35" s="68">
        <f>K35-'FC depreciation adjustment 22'!F4</f>
        <v>-494376.11413628474</v>
      </c>
      <c r="M35" s="68">
        <f>L35-'FC depreciation adjustment 22'!G4</f>
        <v>-509222.79296354169</v>
      </c>
      <c r="N35" s="68">
        <f>M35-'FC depreciation adjustment 22'!H4</f>
        <v>-524069.47179079865</v>
      </c>
      <c r="O35" s="68">
        <f>N35-'FC depreciation adjustment 22'!I4</f>
        <v>-538916.1506180556</v>
      </c>
      <c r="P35" s="68">
        <f>O35-'FC depreciation adjustment 22'!J4</f>
        <v>-553762.8294453125</v>
      </c>
      <c r="Q35" s="68">
        <f>P35-'FC depreciation adjustment 22'!K4</f>
        <v>-568609.50827256939</v>
      </c>
      <c r="R35" s="68">
        <f>Q35-'FC depreciation adjustment 22'!L4</f>
        <v>-583456.18709982629</v>
      </c>
      <c r="S35" s="68">
        <f>R35-'FC depreciation adjustment 22'!M4</f>
        <v>-598302.86592708318</v>
      </c>
      <c r="T35" s="73">
        <f t="shared" ref="T35:T44" si="6">SUM(G35:S35)/13</f>
        <v>-509222.79296354169</v>
      </c>
      <c r="U35" s="68"/>
      <c r="V35" s="68"/>
      <c r="W35" s="68"/>
      <c r="X35" s="68"/>
      <c r="Y35" s="68"/>
      <c r="Z35" s="68"/>
    </row>
    <row r="36" spans="3:26" x14ac:dyDescent="0.25">
      <c r="C36" t="s">
        <v>400</v>
      </c>
      <c r="D36" s="13" t="s">
        <v>77</v>
      </c>
      <c r="E36" t="s">
        <v>385</v>
      </c>
      <c r="G36" s="68">
        <f>'FC common plant 21'!S36</f>
        <v>-30015.37999999999</v>
      </c>
      <c r="H36" s="68">
        <f>G36-'FC depreciation adjustment 22'!B5</f>
        <v>-34945.659999999989</v>
      </c>
      <c r="I36" s="68">
        <f>H36-'FC depreciation adjustment 22'!C5</f>
        <v>-39875.939999999988</v>
      </c>
      <c r="J36" s="68">
        <f>I36-'FC depreciation adjustment 22'!D5</f>
        <v>-44806.219999999987</v>
      </c>
      <c r="K36" s="68">
        <f>J36-'FC depreciation adjustment 22'!E5</f>
        <v>-49736.499999999985</v>
      </c>
      <c r="L36" s="68">
        <f>K36-'FC depreciation adjustment 22'!F5</f>
        <v>-54666.779999999984</v>
      </c>
      <c r="M36" s="68">
        <f>L36-'FC depreciation adjustment 22'!G5</f>
        <v>-59597.059999999983</v>
      </c>
      <c r="N36" s="68">
        <f>M36-'FC depreciation adjustment 22'!H5</f>
        <v>-64527.339999999982</v>
      </c>
      <c r="O36" s="68">
        <f>N36-'FC depreciation adjustment 22'!I5</f>
        <v>-69457.619999999981</v>
      </c>
      <c r="P36" s="68">
        <f>O36-'FC depreciation adjustment 22'!J5</f>
        <v>-74387.89999999998</v>
      </c>
      <c r="Q36" s="68">
        <f>P36-'FC depreciation adjustment 22'!K5</f>
        <v>-79318.179999999978</v>
      </c>
      <c r="R36" s="68">
        <f>Q36-'FC depreciation adjustment 22'!L5</f>
        <v>-84248.459999999977</v>
      </c>
      <c r="S36" s="68">
        <f>R36-'FC depreciation adjustment 22'!M5</f>
        <v>-89178.739999999976</v>
      </c>
      <c r="T36" s="73">
        <f t="shared" si="6"/>
        <v>-59597.059999999983</v>
      </c>
      <c r="U36" s="68"/>
      <c r="V36" s="68"/>
      <c r="W36" s="68"/>
      <c r="X36" s="68"/>
      <c r="Y36" s="68"/>
      <c r="Z36" s="68"/>
    </row>
    <row r="37" spans="3:26" x14ac:dyDescent="0.25">
      <c r="C37" t="s">
        <v>401</v>
      </c>
      <c r="D37" s="13">
        <v>10803912</v>
      </c>
      <c r="E37" t="s">
        <v>383</v>
      </c>
      <c r="G37" s="68">
        <f>'FC common plant 21'!S37</f>
        <v>-100219.34</v>
      </c>
      <c r="H37" s="68">
        <f>G37-'FC depreciation adjustment 22'!B6</f>
        <v>-114847.76999999999</v>
      </c>
      <c r="I37" s="68">
        <f>H37-'FC depreciation adjustment 22'!C6</f>
        <v>-129476.19999999998</v>
      </c>
      <c r="J37" s="68">
        <f>I37-'FC depreciation adjustment 22'!D6</f>
        <v>-144104.62999999998</v>
      </c>
      <c r="K37" s="68">
        <f>J37-'FC depreciation adjustment 22'!E6</f>
        <v>-158733.05999999997</v>
      </c>
      <c r="L37" s="68">
        <f>K37-'FC depreciation adjustment 22'!F6</f>
        <v>-173361.48999999996</v>
      </c>
      <c r="M37" s="68">
        <f>L37-'FC depreciation adjustment 22'!G6</f>
        <v>-187989.91999999995</v>
      </c>
      <c r="N37" s="68">
        <f>M37-'FC depreciation adjustment 22'!H6</f>
        <v>-202618.34999999995</v>
      </c>
      <c r="O37" s="68">
        <f>N37-'FC depreciation adjustment 22'!I6</f>
        <v>-217246.77999999994</v>
      </c>
      <c r="P37" s="68">
        <f>O37-'FC depreciation adjustment 22'!J6</f>
        <v>-231875.20999999993</v>
      </c>
      <c r="Q37" s="68">
        <f>P37-'FC depreciation adjustment 22'!K6</f>
        <v>-246503.63999999993</v>
      </c>
      <c r="R37" s="68">
        <f>Q37-'FC depreciation adjustment 22'!L6</f>
        <v>-261132.06999999992</v>
      </c>
      <c r="S37" s="68">
        <f>R37-'FC depreciation adjustment 22'!M6</f>
        <v>-275760.49999999994</v>
      </c>
      <c r="T37" s="73">
        <f t="shared" si="6"/>
        <v>-187989.91999999995</v>
      </c>
      <c r="U37" s="68"/>
      <c r="V37" s="68"/>
      <c r="W37" s="68"/>
      <c r="X37" s="68"/>
      <c r="Y37" s="68"/>
      <c r="Z37" s="68"/>
    </row>
    <row r="38" spans="3:26" x14ac:dyDescent="0.25">
      <c r="C38" t="s">
        <v>402</v>
      </c>
      <c r="D38" s="13">
        <v>10803913</v>
      </c>
      <c r="E38" t="s">
        <v>385</v>
      </c>
      <c r="G38" s="68">
        <f>'FC common plant 21'!S38</f>
        <v>240146.58000000002</v>
      </c>
      <c r="H38" s="68">
        <f>G38-'FC depreciation adjustment 22'!B7</f>
        <v>240699.74000000002</v>
      </c>
      <c r="I38" s="68">
        <f>H38-'FC depreciation adjustment 22'!C7</f>
        <v>241252.90000000002</v>
      </c>
      <c r="J38" s="68">
        <f>I38-'FC depreciation adjustment 22'!D7</f>
        <v>241806.06000000003</v>
      </c>
      <c r="K38" s="68">
        <f>J38-'FC depreciation adjustment 22'!E7</f>
        <v>242359.22000000003</v>
      </c>
      <c r="L38" s="68">
        <f>K38-'FC depreciation adjustment 22'!F7</f>
        <v>242912.38000000003</v>
      </c>
      <c r="M38" s="68">
        <f>L38-'FC depreciation adjustment 22'!G7</f>
        <v>243465.54000000004</v>
      </c>
      <c r="N38" s="68">
        <f>M38-'FC depreciation adjustment 22'!H7</f>
        <v>244018.70000000004</v>
      </c>
      <c r="O38" s="68">
        <f>N38-'FC depreciation adjustment 22'!I7</f>
        <v>244571.86000000004</v>
      </c>
      <c r="P38" s="68">
        <f>O38-'FC depreciation adjustment 22'!J7</f>
        <v>245125.02000000005</v>
      </c>
      <c r="Q38" s="68">
        <f>P38-'FC depreciation adjustment 22'!K7</f>
        <v>245678.18000000005</v>
      </c>
      <c r="R38" s="68">
        <f>Q38-'FC depreciation adjustment 22'!L7</f>
        <v>246231.34000000005</v>
      </c>
      <c r="S38" s="68">
        <f>R38-'FC depreciation adjustment 22'!M7</f>
        <v>246784.50000000006</v>
      </c>
      <c r="T38" s="73">
        <f t="shared" si="6"/>
        <v>243465.54000000004</v>
      </c>
      <c r="U38" s="68"/>
      <c r="V38" s="68"/>
      <c r="W38" s="68"/>
      <c r="X38" s="68"/>
      <c r="Y38" s="68"/>
      <c r="Z38" s="68"/>
    </row>
    <row r="39" spans="3:26" x14ac:dyDescent="0.25">
      <c r="C39" t="s">
        <v>403</v>
      </c>
      <c r="D39" s="13" t="s">
        <v>80</v>
      </c>
      <c r="E39" t="s">
        <v>385</v>
      </c>
      <c r="G39" s="68">
        <f>'FC common plant 21'!S39</f>
        <v>9031.5400000000009</v>
      </c>
      <c r="H39" s="68">
        <f>G39-'FC depreciation adjustment 22'!B8</f>
        <v>11236.386306714801</v>
      </c>
      <c r="I39" s="68">
        <f>H39-'FC depreciation adjustment 22'!C8</f>
        <v>13441.232613429602</v>
      </c>
      <c r="J39" s="68">
        <f>I39-'FC depreciation adjustment 22'!D8</f>
        <v>15646.078920144402</v>
      </c>
      <c r="K39" s="68">
        <f>J39-'FC depreciation adjustment 22'!E8</f>
        <v>17850.925226859203</v>
      </c>
      <c r="L39" s="68">
        <f>K39-'FC depreciation adjustment 22'!F8</f>
        <v>20055.771533574003</v>
      </c>
      <c r="M39" s="68">
        <f>L39-'FC depreciation adjustment 22'!G8</f>
        <v>22260.617840288804</v>
      </c>
      <c r="N39" s="68">
        <f>M39-'FC depreciation adjustment 22'!H8</f>
        <v>24465.464147003604</v>
      </c>
      <c r="O39" s="68">
        <f>N39-'FC depreciation adjustment 22'!I8</f>
        <v>26670.310453718404</v>
      </c>
      <c r="P39" s="68">
        <f>O39-'FC depreciation adjustment 22'!J8</f>
        <v>28875.156760433205</v>
      </c>
      <c r="Q39" s="68">
        <f>P39-'FC depreciation adjustment 22'!K8</f>
        <v>31080.003067148005</v>
      </c>
      <c r="R39" s="68">
        <f>Q39-'FC depreciation adjustment 22'!L8</f>
        <v>33284.849373862802</v>
      </c>
      <c r="S39" s="68">
        <f>R39-'FC depreciation adjustment 22'!M8</f>
        <v>35489.695680577599</v>
      </c>
      <c r="T39" s="73">
        <f t="shared" si="6"/>
        <v>22260.617840288804</v>
      </c>
      <c r="U39" s="68"/>
      <c r="V39" s="68"/>
      <c r="W39" s="68"/>
      <c r="X39" s="68"/>
      <c r="Y39" s="68"/>
      <c r="Z39" s="68"/>
    </row>
    <row r="40" spans="3:26" x14ac:dyDescent="0.25">
      <c r="C40" t="s">
        <v>404</v>
      </c>
      <c r="D40" s="13" t="s">
        <v>81</v>
      </c>
      <c r="E40" t="s">
        <v>385</v>
      </c>
      <c r="G40" s="68">
        <f>'FC common plant 21'!S40</f>
        <v>-155825.82999999999</v>
      </c>
      <c r="H40" s="68">
        <f>G40-'FC depreciation adjustment 22'!B9</f>
        <v>-159568.51990293068</v>
      </c>
      <c r="I40" s="68">
        <f>H40-'FC depreciation adjustment 22'!C9</f>
        <v>-163311.20980586138</v>
      </c>
      <c r="J40" s="68">
        <f>I40-'FC depreciation adjustment 22'!D9</f>
        <v>-167053.89970879207</v>
      </c>
      <c r="K40" s="68">
        <f>J40-'FC depreciation adjustment 22'!E9</f>
        <v>-170796.58961172277</v>
      </c>
      <c r="L40" s="68">
        <f>K40-'FC depreciation adjustment 22'!F9</f>
        <v>-174539.27951465346</v>
      </c>
      <c r="M40" s="68">
        <f>L40-'FC depreciation adjustment 22'!G9</f>
        <v>-178281.96941758416</v>
      </c>
      <c r="N40" s="68">
        <f>M40-'FC depreciation adjustment 22'!H9</f>
        <v>-182024.65932051485</v>
      </c>
      <c r="O40" s="68">
        <f>N40-'FC depreciation adjustment 22'!I9</f>
        <v>-185767.34922344555</v>
      </c>
      <c r="P40" s="68">
        <f>O40-'FC depreciation adjustment 22'!J9</f>
        <v>-189510.03912637624</v>
      </c>
      <c r="Q40" s="68">
        <f>P40-'FC depreciation adjustment 22'!K9</f>
        <v>-193252.72902930694</v>
      </c>
      <c r="R40" s="68">
        <f>Q40-'FC depreciation adjustment 22'!L9</f>
        <v>-196995.41893223763</v>
      </c>
      <c r="S40" s="68">
        <f>R40-'FC depreciation adjustment 22'!M9</f>
        <v>-200738.10883516833</v>
      </c>
      <c r="T40" s="73">
        <f t="shared" si="6"/>
        <v>-178281.96941758413</v>
      </c>
      <c r="U40" s="68"/>
      <c r="V40" s="68"/>
      <c r="W40" s="68"/>
      <c r="X40" s="68"/>
      <c r="Y40" s="68"/>
      <c r="Z40" s="68"/>
    </row>
    <row r="41" spans="3:26" x14ac:dyDescent="0.25">
      <c r="C41" t="s">
        <v>405</v>
      </c>
      <c r="D41" s="13" t="s">
        <v>82</v>
      </c>
      <c r="E41" t="s">
        <v>385</v>
      </c>
      <c r="G41" s="68">
        <f>'FC common plant 21'!S41</f>
        <v>-254232.94</v>
      </c>
      <c r="H41" s="68">
        <f>G41-'FC depreciation adjustment 22'!B10</f>
        <v>-259579.29993383662</v>
      </c>
      <c r="I41" s="68">
        <f>H41-'FC depreciation adjustment 22'!C10</f>
        <v>-264925.65986767324</v>
      </c>
      <c r="J41" s="68">
        <f>I41-'FC depreciation adjustment 22'!D10</f>
        <v>-270272.01980150986</v>
      </c>
      <c r="K41" s="68">
        <f>J41-'FC depreciation adjustment 22'!E10</f>
        <v>-275618.37973534648</v>
      </c>
      <c r="L41" s="68">
        <f>K41-'FC depreciation adjustment 22'!F10</f>
        <v>-280964.73966918309</v>
      </c>
      <c r="M41" s="68">
        <f>L41-'FC depreciation adjustment 22'!G10</f>
        <v>-286311.09960301971</v>
      </c>
      <c r="N41" s="68">
        <f>M41-'FC depreciation adjustment 22'!H10</f>
        <v>-291657.45953685633</v>
      </c>
      <c r="O41" s="68">
        <f>N41-'FC depreciation adjustment 22'!I10</f>
        <v>-297003.81947069295</v>
      </c>
      <c r="P41" s="68">
        <f>O41-'FC depreciation adjustment 22'!J10</f>
        <v>-302350.17940452957</v>
      </c>
      <c r="Q41" s="68">
        <f>P41-'FC depreciation adjustment 22'!K10</f>
        <v>-307696.53933836619</v>
      </c>
      <c r="R41" s="68">
        <f>Q41-'FC depreciation adjustment 22'!L10</f>
        <v>-313042.89927220281</v>
      </c>
      <c r="S41" s="68">
        <f>R41-'FC depreciation adjustment 22'!M10</f>
        <v>-318389.25920603942</v>
      </c>
      <c r="T41" s="73">
        <f t="shared" si="6"/>
        <v>-286311.09960301971</v>
      </c>
      <c r="U41" s="68"/>
      <c r="V41" s="68"/>
      <c r="W41" s="68"/>
      <c r="X41" s="68"/>
      <c r="Y41" s="68"/>
      <c r="Z41" s="68"/>
    </row>
    <row r="42" spans="3:26" x14ac:dyDescent="0.25">
      <c r="C42" t="s">
        <v>406</v>
      </c>
      <c r="D42" s="13" t="s">
        <v>83</v>
      </c>
      <c r="E42" t="s">
        <v>385</v>
      </c>
      <c r="G42" s="68">
        <f>'FC common plant 21'!S42</f>
        <v>-192055.3</v>
      </c>
      <c r="H42" s="68">
        <f>G42-'FC depreciation adjustment 22'!B11</f>
        <v>-198163.28123953217</v>
      </c>
      <c r="I42" s="68">
        <f>H42-'FC depreciation adjustment 22'!C11</f>
        <v>-204271.26247906435</v>
      </c>
      <c r="J42" s="68">
        <f>I42-'FC depreciation adjustment 22'!D11</f>
        <v>-210379.24371859652</v>
      </c>
      <c r="K42" s="68">
        <f>J42-'FC depreciation adjustment 22'!E11</f>
        <v>-216487.2249581287</v>
      </c>
      <c r="L42" s="68">
        <f>K42-'FC depreciation adjustment 22'!F11</f>
        <v>-222595.20619766088</v>
      </c>
      <c r="M42" s="68">
        <f>L42-'FC depreciation adjustment 22'!G11</f>
        <v>-228703.18743719306</v>
      </c>
      <c r="N42" s="68">
        <f>M42-'FC depreciation adjustment 22'!H11</f>
        <v>-234811.16867672524</v>
      </c>
      <c r="O42" s="68">
        <f>N42-'FC depreciation adjustment 22'!I11</f>
        <v>-240919.14991625742</v>
      </c>
      <c r="P42" s="68">
        <f>O42-'FC depreciation adjustment 22'!J11</f>
        <v>-247027.1311557896</v>
      </c>
      <c r="Q42" s="68">
        <f>P42-'FC depreciation adjustment 22'!K11</f>
        <v>-253135.11239532178</v>
      </c>
      <c r="R42" s="68">
        <f>Q42-'FC depreciation adjustment 22'!L11</f>
        <v>-259243.09363485395</v>
      </c>
      <c r="S42" s="68">
        <f>R42-'FC depreciation adjustment 22'!M11</f>
        <v>-265351.07487438613</v>
      </c>
      <c r="T42" s="73">
        <f t="shared" si="6"/>
        <v>-228703.18743719306</v>
      </c>
      <c r="U42" s="68"/>
      <c r="V42" s="68"/>
      <c r="W42" s="68"/>
      <c r="X42" s="68"/>
      <c r="Y42" s="68"/>
      <c r="Z42" s="68"/>
    </row>
    <row r="43" spans="3:26" x14ac:dyDescent="0.25">
      <c r="C43" t="s">
        <v>407</v>
      </c>
      <c r="D43" s="13" t="s">
        <v>84</v>
      </c>
      <c r="E43" t="s">
        <v>385</v>
      </c>
      <c r="G43" s="68">
        <f>'FC common plant 21'!S43</f>
        <v>-9977.82</v>
      </c>
      <c r="H43" s="68">
        <f>G43-'FC depreciation adjustment 22'!B12</f>
        <v>-10708.0299873227</v>
      </c>
      <c r="I43" s="68">
        <f>H43-'FC depreciation adjustment 22'!C12</f>
        <v>-11438.239974645399</v>
      </c>
      <c r="J43" s="68">
        <f>I43-'FC depreciation adjustment 22'!D12</f>
        <v>-12168.449961968099</v>
      </c>
      <c r="K43" s="68">
        <f>J43-'FC depreciation adjustment 22'!E12</f>
        <v>-12898.659949290799</v>
      </c>
      <c r="L43" s="68">
        <f>K43-'FC depreciation adjustment 22'!F12</f>
        <v>-13628.869936613499</v>
      </c>
      <c r="M43" s="68">
        <f>L43-'FC depreciation adjustment 22'!G12</f>
        <v>-14359.079923936199</v>
      </c>
      <c r="N43" s="68">
        <f>M43-'FC depreciation adjustment 22'!H12</f>
        <v>-15089.289911258898</v>
      </c>
      <c r="O43" s="68">
        <f>N43-'FC depreciation adjustment 22'!I12</f>
        <v>-15819.499898581598</v>
      </c>
      <c r="P43" s="68">
        <f>O43-'FC depreciation adjustment 22'!J12</f>
        <v>-16549.709885904296</v>
      </c>
      <c r="Q43" s="68">
        <f>P43-'FC depreciation adjustment 22'!K12</f>
        <v>-17279.919873226994</v>
      </c>
      <c r="R43" s="68">
        <f>Q43-'FC depreciation adjustment 22'!L12</f>
        <v>-18010.129860549692</v>
      </c>
      <c r="S43" s="68">
        <f>R43-'FC depreciation adjustment 22'!M12</f>
        <v>-18740.33984787239</v>
      </c>
      <c r="T43" s="73">
        <f t="shared" si="6"/>
        <v>-14359.079923936197</v>
      </c>
      <c r="U43" s="68"/>
      <c r="V43" s="68"/>
      <c r="W43" s="68"/>
      <c r="X43" s="68"/>
      <c r="Y43" s="68"/>
      <c r="Z43" s="68"/>
    </row>
    <row r="44" spans="3:26" x14ac:dyDescent="0.25">
      <c r="C44" t="s">
        <v>408</v>
      </c>
      <c r="D44" s="13" t="s">
        <v>85</v>
      </c>
      <c r="E44" t="s">
        <v>385</v>
      </c>
      <c r="G44" s="68">
        <f>'FC common plant 21'!S44</f>
        <v>0</v>
      </c>
      <c r="H44" s="68">
        <f>G44</f>
        <v>0</v>
      </c>
      <c r="I44" s="68">
        <f t="shared" ref="I44:S44" si="7">H44</f>
        <v>0</v>
      </c>
      <c r="J44" s="68">
        <f t="shared" si="7"/>
        <v>0</v>
      </c>
      <c r="K44" s="68">
        <f t="shared" si="7"/>
        <v>0</v>
      </c>
      <c r="L44" s="68">
        <f t="shared" si="7"/>
        <v>0</v>
      </c>
      <c r="M44" s="68">
        <f t="shared" si="7"/>
        <v>0</v>
      </c>
      <c r="N44" s="68">
        <f t="shared" si="7"/>
        <v>0</v>
      </c>
      <c r="O44" s="68">
        <f t="shared" si="7"/>
        <v>0</v>
      </c>
      <c r="P44" s="68">
        <f t="shared" si="7"/>
        <v>0</v>
      </c>
      <c r="Q44" s="68">
        <f t="shared" si="7"/>
        <v>0</v>
      </c>
      <c r="R44" s="68">
        <f t="shared" si="7"/>
        <v>0</v>
      </c>
      <c r="S44" s="68">
        <f t="shared" si="7"/>
        <v>0</v>
      </c>
      <c r="T44" s="73">
        <f t="shared" si="6"/>
        <v>0</v>
      </c>
      <c r="U44" s="68"/>
      <c r="V44" s="68"/>
      <c r="W44" s="68"/>
      <c r="X44" s="68"/>
      <c r="Y44" s="68"/>
      <c r="Z44" s="68"/>
    </row>
    <row r="45" spans="3:26" x14ac:dyDescent="0.25">
      <c r="C45" s="13" t="s">
        <v>86</v>
      </c>
      <c r="D45" s="13" t="s">
        <v>87</v>
      </c>
      <c r="E45" t="s">
        <v>385</v>
      </c>
      <c r="G45" s="68">
        <f>'FC common plant 21'!S45</f>
        <v>25334</v>
      </c>
      <c r="H45" s="68">
        <f>G45</f>
        <v>25334</v>
      </c>
      <c r="I45" s="68">
        <f t="shared" ref="I45:S45" si="8">H45</f>
        <v>25334</v>
      </c>
      <c r="J45" s="68">
        <f t="shared" si="8"/>
        <v>25334</v>
      </c>
      <c r="K45" s="68">
        <f t="shared" si="8"/>
        <v>25334</v>
      </c>
      <c r="L45" s="68">
        <f t="shared" si="8"/>
        <v>25334</v>
      </c>
      <c r="M45" s="68">
        <f t="shared" si="8"/>
        <v>25334</v>
      </c>
      <c r="N45" s="68">
        <f t="shared" si="8"/>
        <v>25334</v>
      </c>
      <c r="O45" s="68">
        <f t="shared" si="8"/>
        <v>25334</v>
      </c>
      <c r="P45" s="68">
        <f t="shared" si="8"/>
        <v>25334</v>
      </c>
      <c r="Q45" s="68">
        <f t="shared" si="8"/>
        <v>25334</v>
      </c>
      <c r="R45" s="68">
        <f t="shared" si="8"/>
        <v>25334</v>
      </c>
      <c r="S45" s="68">
        <f t="shared" si="8"/>
        <v>25334</v>
      </c>
      <c r="T45" s="73">
        <f t="shared" ref="T45:T47" si="9">SUM(G45:S45)/13</f>
        <v>25334</v>
      </c>
      <c r="U45" s="68"/>
      <c r="V45" s="68"/>
      <c r="W45" s="68"/>
      <c r="X45" s="68"/>
      <c r="Y45" s="68"/>
      <c r="Z45" s="68"/>
    </row>
    <row r="46" spans="3:26" x14ac:dyDescent="0.25">
      <c r="C46" s="13" t="s">
        <v>88</v>
      </c>
      <c r="D46" s="13" t="s">
        <v>89</v>
      </c>
      <c r="E46" t="s">
        <v>385</v>
      </c>
      <c r="G46" s="68">
        <f>'FC common plant 21'!S46</f>
        <v>22241</v>
      </c>
      <c r="H46" s="68">
        <f t="shared" ref="H46:S47" si="10">G46</f>
        <v>22241</v>
      </c>
      <c r="I46" s="68">
        <f t="shared" si="10"/>
        <v>22241</v>
      </c>
      <c r="J46" s="68">
        <f t="shared" si="10"/>
        <v>22241</v>
      </c>
      <c r="K46" s="68">
        <f t="shared" si="10"/>
        <v>22241</v>
      </c>
      <c r="L46" s="68">
        <f t="shared" si="10"/>
        <v>22241</v>
      </c>
      <c r="M46" s="68">
        <f t="shared" si="10"/>
        <v>22241</v>
      </c>
      <c r="N46" s="68">
        <f t="shared" si="10"/>
        <v>22241</v>
      </c>
      <c r="O46" s="68">
        <f t="shared" si="10"/>
        <v>22241</v>
      </c>
      <c r="P46" s="68">
        <f t="shared" si="10"/>
        <v>22241</v>
      </c>
      <c r="Q46" s="68">
        <f t="shared" si="10"/>
        <v>22241</v>
      </c>
      <c r="R46" s="68">
        <f t="shared" si="10"/>
        <v>22241</v>
      </c>
      <c r="S46" s="68">
        <f t="shared" si="10"/>
        <v>22241</v>
      </c>
      <c r="T46" s="73">
        <f t="shared" si="9"/>
        <v>22241</v>
      </c>
      <c r="U46" s="68"/>
      <c r="V46" s="68"/>
      <c r="W46" s="68"/>
      <c r="X46" s="68"/>
      <c r="Y46" s="68"/>
      <c r="Z46" s="68"/>
    </row>
    <row r="47" spans="3:26" x14ac:dyDescent="0.25">
      <c r="C47" s="13" t="s">
        <v>90</v>
      </c>
      <c r="D47" s="13" t="s">
        <v>91</v>
      </c>
      <c r="E47" t="s">
        <v>385</v>
      </c>
      <c r="G47" s="68">
        <f>'FC common plant 21'!S47</f>
        <v>-45669</v>
      </c>
      <c r="H47" s="68">
        <f t="shared" si="10"/>
        <v>-45669</v>
      </c>
      <c r="I47" s="68">
        <f t="shared" si="10"/>
        <v>-45669</v>
      </c>
      <c r="J47" s="68">
        <f t="shared" si="10"/>
        <v>-45669</v>
      </c>
      <c r="K47" s="68">
        <f t="shared" si="10"/>
        <v>-45669</v>
      </c>
      <c r="L47" s="68">
        <f t="shared" si="10"/>
        <v>-45669</v>
      </c>
      <c r="M47" s="68">
        <f t="shared" si="10"/>
        <v>-45669</v>
      </c>
      <c r="N47" s="68">
        <f t="shared" si="10"/>
        <v>-45669</v>
      </c>
      <c r="O47" s="68">
        <f t="shared" si="10"/>
        <v>-45669</v>
      </c>
      <c r="P47" s="68">
        <f t="shared" si="10"/>
        <v>-45669</v>
      </c>
      <c r="Q47" s="68">
        <f t="shared" si="10"/>
        <v>-45669</v>
      </c>
      <c r="R47" s="68">
        <f t="shared" si="10"/>
        <v>-45669</v>
      </c>
      <c r="S47" s="68">
        <f t="shared" si="10"/>
        <v>-45669</v>
      </c>
      <c r="T47" s="73">
        <f t="shared" si="9"/>
        <v>-45669</v>
      </c>
      <c r="U47" s="68"/>
      <c r="V47" s="68"/>
      <c r="W47" s="68"/>
      <c r="X47" s="68"/>
      <c r="Y47" s="68"/>
      <c r="Z47" s="68"/>
    </row>
    <row r="48" spans="3:26" x14ac:dyDescent="0.25">
      <c r="G48" s="71">
        <f t="shared" ref="G48:T48" si="11">SUM(G34:G47)</f>
        <v>-911385.20999999985</v>
      </c>
      <c r="H48" s="71">
        <f t="shared" si="11"/>
        <v>-958959.83358416439</v>
      </c>
      <c r="I48" s="71">
        <f t="shared" si="11"/>
        <v>-1006534.4571683286</v>
      </c>
      <c r="J48" s="71">
        <f t="shared" si="11"/>
        <v>-1054109.0807524929</v>
      </c>
      <c r="K48" s="71">
        <f t="shared" si="11"/>
        <v>-1101683.7043366572</v>
      </c>
      <c r="L48" s="71">
        <f t="shared" si="11"/>
        <v>-1149258.3279208217</v>
      </c>
      <c r="M48" s="71">
        <f t="shared" si="11"/>
        <v>-1196832.9515049858</v>
      </c>
      <c r="N48" s="71">
        <f t="shared" si="11"/>
        <v>-1244407.5750891506</v>
      </c>
      <c r="O48" s="71">
        <f t="shared" si="11"/>
        <v>-1291982.1986733144</v>
      </c>
      <c r="P48" s="71">
        <f t="shared" si="11"/>
        <v>-1339556.822257479</v>
      </c>
      <c r="Q48" s="71">
        <f t="shared" si="11"/>
        <v>-1387131.4458416428</v>
      </c>
      <c r="R48" s="71">
        <f t="shared" si="11"/>
        <v>-1434706.0694258073</v>
      </c>
      <c r="S48" s="71">
        <f t="shared" si="11"/>
        <v>-1482280.6930099721</v>
      </c>
      <c r="T48" s="71">
        <f t="shared" si="11"/>
        <v>-1196832.9515049858</v>
      </c>
      <c r="U48" s="68"/>
      <c r="V48" s="68"/>
      <c r="W48" s="68"/>
      <c r="X48" s="68"/>
      <c r="Y48" s="68"/>
      <c r="Z48" s="68"/>
    </row>
    <row r="49" spans="1:26" x14ac:dyDescent="0.25">
      <c r="G49" s="76">
        <f t="shared" ref="G49:T49" si="12">G48+G31</f>
        <v>-911385.20999999985</v>
      </c>
      <c r="H49" s="76">
        <f t="shared" si="12"/>
        <v>-958959.83358416439</v>
      </c>
      <c r="I49" s="76">
        <f t="shared" si="12"/>
        <v>-1006534.4571683286</v>
      </c>
      <c r="J49" s="76">
        <f t="shared" si="12"/>
        <v>-1054109.0807524929</v>
      </c>
      <c r="K49" s="76">
        <f t="shared" si="12"/>
        <v>-1101683.7043366572</v>
      </c>
      <c r="L49" s="76">
        <f t="shared" si="12"/>
        <v>-1149258.3279208217</v>
      </c>
      <c r="M49" s="76">
        <f t="shared" si="12"/>
        <v>-1196832.9515049858</v>
      </c>
      <c r="N49" s="76">
        <f t="shared" si="12"/>
        <v>-1244407.5750891506</v>
      </c>
      <c r="O49" s="76">
        <f t="shared" si="12"/>
        <v>-1291982.1986733144</v>
      </c>
      <c r="P49" s="76">
        <f t="shared" si="12"/>
        <v>-1339556.822257479</v>
      </c>
      <c r="Q49" s="76">
        <f t="shared" si="12"/>
        <v>-1387131.4458416428</v>
      </c>
      <c r="R49" s="76">
        <f t="shared" si="12"/>
        <v>-1434706.0694258073</v>
      </c>
      <c r="S49" s="76">
        <f t="shared" si="12"/>
        <v>-1482280.6930099721</v>
      </c>
      <c r="T49" s="76">
        <f t="shared" si="12"/>
        <v>-1196832.9515049858</v>
      </c>
      <c r="U49" s="68"/>
      <c r="V49" s="68"/>
      <c r="W49" s="68"/>
      <c r="X49" s="68"/>
      <c r="Y49" s="68"/>
      <c r="Z49" s="68"/>
    </row>
    <row r="50" spans="1:26" x14ac:dyDescent="0.25"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73"/>
      <c r="R50" s="73"/>
      <c r="S50" s="73"/>
      <c r="T50" s="68"/>
      <c r="U50" s="68"/>
      <c r="V50" s="68"/>
      <c r="W50" s="68"/>
      <c r="X50" s="68"/>
      <c r="Y50" s="68"/>
      <c r="Z50" s="68"/>
    </row>
    <row r="51" spans="1:26" x14ac:dyDescent="0.25">
      <c r="G51" s="79">
        <f>'[1]FC with allocations'!C53</f>
        <v>-601375</v>
      </c>
      <c r="H51" s="79">
        <f>'[1]FC with allocations'!D53</f>
        <v>-649606</v>
      </c>
      <c r="I51" s="79">
        <f>'[1]FC with allocations'!E53</f>
        <v>-697833</v>
      </c>
      <c r="J51" s="79">
        <f>'[1]FC with allocations'!F53</f>
        <v>-742448</v>
      </c>
      <c r="K51" s="79">
        <f>'[1]FC with allocations'!G53</f>
        <v>-734925</v>
      </c>
      <c r="L51" s="79">
        <f>'[1]FC with allocations'!H53</f>
        <v>-783218</v>
      </c>
      <c r="M51" s="79">
        <f>'[1]FC with allocations'!I53</f>
        <v>-831093</v>
      </c>
      <c r="N51" s="79">
        <f>'[1]FC with allocations'!J53</f>
        <v>-878925</v>
      </c>
      <c r="O51" s="79">
        <f>'[1]FC with allocations'!K53</f>
        <v>-926927</v>
      </c>
      <c r="P51" s="79">
        <f>'[1]FC with allocations'!L53</f>
        <v>-942929</v>
      </c>
      <c r="Q51" s="75">
        <f>'[1]FC with allocations'!M53</f>
        <v>-991185</v>
      </c>
      <c r="R51" s="75">
        <f>'[1]FC with allocations'!N53</f>
        <v>-1039173</v>
      </c>
      <c r="S51" s="75">
        <f>'[1]FC with allocations'!O53</f>
        <v>-911386</v>
      </c>
      <c r="T51" s="79">
        <f>('[1]FC with allocations'!P53)/13</f>
        <v>-825463.30769230775</v>
      </c>
      <c r="U51" s="68"/>
      <c r="V51" s="68"/>
      <c r="W51" s="68"/>
      <c r="X51" s="68"/>
      <c r="Y51" s="68"/>
      <c r="Z51" s="68"/>
    </row>
    <row r="52" spans="1:26" x14ac:dyDescent="0.25">
      <c r="G52" s="68">
        <f>G48-G51</f>
        <v>-310010.20999999985</v>
      </c>
      <c r="H52" s="68">
        <f t="shared" ref="H52:T52" si="13">H48-H51</f>
        <v>-309353.83358416439</v>
      </c>
      <c r="I52" s="68">
        <f t="shared" si="13"/>
        <v>-308701.45716832858</v>
      </c>
      <c r="J52" s="68">
        <f t="shared" si="13"/>
        <v>-311661.08075249288</v>
      </c>
      <c r="K52" s="68">
        <f t="shared" si="13"/>
        <v>-366758.70433665719</v>
      </c>
      <c r="L52" s="68">
        <f t="shared" si="13"/>
        <v>-366040.32792082173</v>
      </c>
      <c r="M52" s="68">
        <f t="shared" si="13"/>
        <v>-365739.9515049858</v>
      </c>
      <c r="N52" s="68">
        <f t="shared" si="13"/>
        <v>-365482.57508915057</v>
      </c>
      <c r="O52" s="68">
        <f t="shared" si="13"/>
        <v>-365055.19867331441</v>
      </c>
      <c r="P52" s="68">
        <f t="shared" si="13"/>
        <v>-396627.82225747895</v>
      </c>
      <c r="Q52" s="68">
        <f t="shared" si="13"/>
        <v>-395946.4458416428</v>
      </c>
      <c r="R52" s="68">
        <f t="shared" si="13"/>
        <v>-395533.06942580733</v>
      </c>
      <c r="S52" s="68">
        <f t="shared" si="13"/>
        <v>-570894.69300997211</v>
      </c>
      <c r="T52" s="68">
        <f t="shared" si="13"/>
        <v>-371369.64381267806</v>
      </c>
      <c r="U52" s="68"/>
      <c r="V52" s="68"/>
      <c r="W52" s="68"/>
      <c r="X52" s="68"/>
      <c r="Y52" s="68"/>
      <c r="Z52" s="68"/>
    </row>
    <row r="53" spans="1:26" x14ac:dyDescent="0.25">
      <c r="C53" s="13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73"/>
    </row>
    <row r="54" spans="1:26" x14ac:dyDescent="0.25">
      <c r="C54" s="13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73"/>
    </row>
    <row r="55" spans="1:26" x14ac:dyDescent="0.25">
      <c r="C55" s="13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73"/>
    </row>
    <row r="57" spans="1:26" ht="15.75" thickBot="1" x14ac:dyDescent="0.3">
      <c r="A57" s="80"/>
      <c r="B57" s="80"/>
      <c r="C57" s="80"/>
      <c r="D57" s="80"/>
      <c r="E57" s="80"/>
      <c r="F57" s="80"/>
      <c r="G57" s="81">
        <f t="shared" ref="G57:S57" si="14">+G5</f>
        <v>44544</v>
      </c>
      <c r="H57" s="81">
        <f t="shared" si="14"/>
        <v>44574</v>
      </c>
      <c r="I57" s="81">
        <f t="shared" si="14"/>
        <v>44604</v>
      </c>
      <c r="J57" s="81">
        <f t="shared" si="14"/>
        <v>44634</v>
      </c>
      <c r="K57" s="81">
        <f t="shared" si="14"/>
        <v>44664</v>
      </c>
      <c r="L57" s="81">
        <f t="shared" si="14"/>
        <v>44694</v>
      </c>
      <c r="M57" s="81">
        <f t="shared" si="14"/>
        <v>44724</v>
      </c>
      <c r="N57" s="81">
        <f t="shared" si="14"/>
        <v>44754</v>
      </c>
      <c r="O57" s="81">
        <f t="shared" si="14"/>
        <v>44784</v>
      </c>
      <c r="P57" s="81">
        <f t="shared" si="14"/>
        <v>44814</v>
      </c>
      <c r="Q57" s="81">
        <f t="shared" si="14"/>
        <v>44844</v>
      </c>
      <c r="R57" s="81">
        <f t="shared" si="14"/>
        <v>44874</v>
      </c>
      <c r="S57" s="81">
        <f t="shared" si="14"/>
        <v>44904</v>
      </c>
      <c r="T57" s="80" t="s">
        <v>409</v>
      </c>
      <c r="U57" s="82"/>
    </row>
    <row r="58" spans="1:26" x14ac:dyDescent="0.25">
      <c r="A58" s="82"/>
      <c r="B58" s="83" t="s">
        <v>410</v>
      </c>
      <c r="C58" s="84" t="s">
        <v>411</v>
      </c>
      <c r="D58" s="85">
        <f>'[1]Common Plant Allocation Factors'!E11</f>
        <v>0.40075371178398028</v>
      </c>
      <c r="E58" s="84"/>
      <c r="F58" s="84"/>
      <c r="G58" s="86">
        <f t="shared" ref="G58:S58" si="15">(G$26)*$D58</f>
        <v>4885590.4840893773</v>
      </c>
      <c r="H58" s="86">
        <f t="shared" si="15"/>
        <v>4885590.4840893773</v>
      </c>
      <c r="I58" s="86">
        <f t="shared" si="15"/>
        <v>4885590.4840893773</v>
      </c>
      <c r="J58" s="86">
        <f t="shared" si="15"/>
        <v>4885590.4840893773</v>
      </c>
      <c r="K58" s="86">
        <f t="shared" si="15"/>
        <v>4885590.4840893773</v>
      </c>
      <c r="L58" s="86">
        <f t="shared" si="15"/>
        <v>4885590.4840893773</v>
      </c>
      <c r="M58" s="86">
        <f t="shared" si="15"/>
        <v>4885590.4840893773</v>
      </c>
      <c r="N58" s="86">
        <f t="shared" si="15"/>
        <v>4885590.4840893773</v>
      </c>
      <c r="O58" s="86">
        <f t="shared" si="15"/>
        <v>4885590.4840893773</v>
      </c>
      <c r="P58" s="86">
        <f t="shared" si="15"/>
        <v>4885590.4840893773</v>
      </c>
      <c r="Q58" s="86">
        <f t="shared" si="15"/>
        <v>4885590.4840893773</v>
      </c>
      <c r="R58" s="86">
        <f t="shared" si="15"/>
        <v>4885590.4840893773</v>
      </c>
      <c r="S58" s="86">
        <f t="shared" si="15"/>
        <v>4885590.4840893773</v>
      </c>
      <c r="T58" s="87"/>
      <c r="U58" s="82"/>
    </row>
    <row r="59" spans="1:26" x14ac:dyDescent="0.25">
      <c r="A59" s="82"/>
      <c r="B59" s="88"/>
      <c r="C59" s="89"/>
      <c r="D59" s="90"/>
      <c r="E59" s="89" t="s">
        <v>381</v>
      </c>
      <c r="F59" s="89"/>
      <c r="G59" s="91">
        <f>G58</f>
        <v>4885590.4840893773</v>
      </c>
      <c r="H59" s="91">
        <f t="shared" ref="H59:S59" si="16">H58</f>
        <v>4885590.4840893773</v>
      </c>
      <c r="I59" s="91">
        <f t="shared" si="16"/>
        <v>4885590.4840893773</v>
      </c>
      <c r="J59" s="91">
        <f t="shared" si="16"/>
        <v>4885590.4840893773</v>
      </c>
      <c r="K59" s="91">
        <f t="shared" si="16"/>
        <v>4885590.4840893773</v>
      </c>
      <c r="L59" s="91">
        <f t="shared" si="16"/>
        <v>4885590.4840893773</v>
      </c>
      <c r="M59" s="91">
        <f t="shared" si="16"/>
        <v>4885590.4840893773</v>
      </c>
      <c r="N59" s="91">
        <f t="shared" si="16"/>
        <v>4885590.4840893773</v>
      </c>
      <c r="O59" s="91">
        <f t="shared" si="16"/>
        <v>4885590.4840893773</v>
      </c>
      <c r="P59" s="91">
        <f t="shared" si="16"/>
        <v>4885590.4840893773</v>
      </c>
      <c r="Q59" s="91">
        <f t="shared" si="16"/>
        <v>4885590.4840893773</v>
      </c>
      <c r="R59" s="91">
        <f t="shared" si="16"/>
        <v>4885590.4840893773</v>
      </c>
      <c r="S59" s="91">
        <f t="shared" si="16"/>
        <v>4885590.4840893773</v>
      </c>
      <c r="T59" s="92">
        <f>SUM(G59:S59)/13</f>
        <v>4885590.4840893764</v>
      </c>
      <c r="U59" s="82"/>
    </row>
    <row r="60" spans="1:26" x14ac:dyDescent="0.25">
      <c r="A60" s="82"/>
      <c r="B60" s="88"/>
      <c r="C60" s="89"/>
      <c r="D60" s="90"/>
      <c r="E60" s="89"/>
      <c r="F60" s="89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2"/>
      <c r="U60" s="82"/>
    </row>
    <row r="61" spans="1:26" x14ac:dyDescent="0.25">
      <c r="A61" s="82"/>
      <c r="B61" s="88"/>
      <c r="C61" s="89" t="s">
        <v>412</v>
      </c>
      <c r="D61" s="90">
        <f>D58</f>
        <v>0.40075371178398028</v>
      </c>
      <c r="E61" s="89"/>
      <c r="F61" s="89"/>
      <c r="G61" s="79">
        <f t="shared" ref="G61:S61" si="17">G$8*$D61</f>
        <v>0</v>
      </c>
      <c r="H61" s="79">
        <f t="shared" si="17"/>
        <v>0</v>
      </c>
      <c r="I61" s="79">
        <f t="shared" si="17"/>
        <v>0</v>
      </c>
      <c r="J61" s="79">
        <f t="shared" si="17"/>
        <v>0</v>
      </c>
      <c r="K61" s="79">
        <f t="shared" si="17"/>
        <v>0</v>
      </c>
      <c r="L61" s="79">
        <f t="shared" si="17"/>
        <v>0</v>
      </c>
      <c r="M61" s="79">
        <f t="shared" si="17"/>
        <v>0</v>
      </c>
      <c r="N61" s="79">
        <f t="shared" si="17"/>
        <v>0</v>
      </c>
      <c r="O61" s="79">
        <f t="shared" si="17"/>
        <v>0</v>
      </c>
      <c r="P61" s="79">
        <f t="shared" si="17"/>
        <v>0</v>
      </c>
      <c r="Q61" s="79">
        <f t="shared" si="17"/>
        <v>0</v>
      </c>
      <c r="R61" s="79">
        <f t="shared" si="17"/>
        <v>0</v>
      </c>
      <c r="S61" s="79">
        <f t="shared" si="17"/>
        <v>0</v>
      </c>
      <c r="T61" s="92"/>
      <c r="U61" s="82"/>
    </row>
    <row r="62" spans="1:26" x14ac:dyDescent="0.25">
      <c r="A62" s="82"/>
      <c r="B62" s="88"/>
      <c r="C62" s="89"/>
      <c r="D62" s="90"/>
      <c r="E62" s="89" t="s">
        <v>69</v>
      </c>
      <c r="F62" s="89"/>
      <c r="G62" s="91">
        <f>G61</f>
        <v>0</v>
      </c>
      <c r="H62" s="91">
        <f t="shared" ref="H62:S62" si="18">H61</f>
        <v>0</v>
      </c>
      <c r="I62" s="91">
        <f t="shared" si="18"/>
        <v>0</v>
      </c>
      <c r="J62" s="91">
        <f t="shared" si="18"/>
        <v>0</v>
      </c>
      <c r="K62" s="91">
        <f t="shared" si="18"/>
        <v>0</v>
      </c>
      <c r="L62" s="91">
        <f t="shared" si="18"/>
        <v>0</v>
      </c>
      <c r="M62" s="91">
        <f t="shared" si="18"/>
        <v>0</v>
      </c>
      <c r="N62" s="91">
        <f t="shared" si="18"/>
        <v>0</v>
      </c>
      <c r="O62" s="91">
        <f t="shared" si="18"/>
        <v>0</v>
      </c>
      <c r="P62" s="91">
        <f t="shared" si="18"/>
        <v>0</v>
      </c>
      <c r="Q62" s="91">
        <f t="shared" si="18"/>
        <v>0</v>
      </c>
      <c r="R62" s="91">
        <f t="shared" si="18"/>
        <v>0</v>
      </c>
      <c r="S62" s="91">
        <f t="shared" si="18"/>
        <v>0</v>
      </c>
      <c r="T62" s="92">
        <f>SUM(G62:S62)/13</f>
        <v>0</v>
      </c>
      <c r="U62" s="82"/>
    </row>
    <row r="63" spans="1:26" x14ac:dyDescent="0.25">
      <c r="A63" s="82"/>
      <c r="B63" s="88"/>
      <c r="C63" s="93"/>
      <c r="D63" s="90"/>
      <c r="E63" s="89"/>
      <c r="F63" s="89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2"/>
      <c r="U63" s="82"/>
    </row>
    <row r="64" spans="1:26" x14ac:dyDescent="0.25">
      <c r="A64" s="82"/>
      <c r="B64" s="88"/>
      <c r="C64" s="89" t="s">
        <v>413</v>
      </c>
      <c r="D64" s="90">
        <f>D58</f>
        <v>0.40075371178398028</v>
      </c>
      <c r="E64" s="89"/>
      <c r="F64" s="89"/>
      <c r="G64" s="79">
        <f t="shared" ref="G64:S64" si="19">(G$48)*$D64</f>
        <v>-365241.0057725223</v>
      </c>
      <c r="H64" s="79">
        <f t="shared" si="19"/>
        <v>-384306.71276060189</v>
      </c>
      <c r="I64" s="79">
        <f t="shared" si="19"/>
        <v>-403372.41974868142</v>
      </c>
      <c r="J64" s="79">
        <f t="shared" si="19"/>
        <v>-422438.12673676095</v>
      </c>
      <c r="K64" s="79">
        <f t="shared" si="19"/>
        <v>-441503.83372484049</v>
      </c>
      <c r="L64" s="79">
        <f t="shared" si="19"/>
        <v>-460569.54071292008</v>
      </c>
      <c r="M64" s="79">
        <f t="shared" si="19"/>
        <v>-479635.24770099955</v>
      </c>
      <c r="N64" s="79">
        <f t="shared" si="19"/>
        <v>-498700.95468907926</v>
      </c>
      <c r="O64" s="79">
        <f t="shared" si="19"/>
        <v>-517766.66167715861</v>
      </c>
      <c r="P64" s="79">
        <f t="shared" si="19"/>
        <v>-536832.36866523826</v>
      </c>
      <c r="Q64" s="79">
        <f t="shared" si="19"/>
        <v>-555898.07565331762</v>
      </c>
      <c r="R64" s="79">
        <f t="shared" si="19"/>
        <v>-574963.78264139721</v>
      </c>
      <c r="S64" s="79">
        <f t="shared" si="19"/>
        <v>-594029.48962947691</v>
      </c>
      <c r="T64" s="92"/>
      <c r="U64" s="82"/>
    </row>
    <row r="65" spans="1:21" x14ac:dyDescent="0.25">
      <c r="A65" s="82"/>
      <c r="B65" s="88"/>
      <c r="C65" s="89"/>
      <c r="D65" s="90"/>
      <c r="E65" s="89" t="s">
        <v>396</v>
      </c>
      <c r="F65" s="89"/>
      <c r="G65" s="91">
        <f>G64</f>
        <v>-365241.0057725223</v>
      </c>
      <c r="H65" s="91">
        <f t="shared" ref="H65:S65" si="20">H64</f>
        <v>-384306.71276060189</v>
      </c>
      <c r="I65" s="91">
        <f t="shared" si="20"/>
        <v>-403372.41974868142</v>
      </c>
      <c r="J65" s="91">
        <f t="shared" si="20"/>
        <v>-422438.12673676095</v>
      </c>
      <c r="K65" s="91">
        <f t="shared" si="20"/>
        <v>-441503.83372484049</v>
      </c>
      <c r="L65" s="91">
        <f t="shared" si="20"/>
        <v>-460569.54071292008</v>
      </c>
      <c r="M65" s="91">
        <f t="shared" si="20"/>
        <v>-479635.24770099955</v>
      </c>
      <c r="N65" s="91">
        <f t="shared" si="20"/>
        <v>-498700.95468907926</v>
      </c>
      <c r="O65" s="91">
        <f t="shared" si="20"/>
        <v>-517766.66167715861</v>
      </c>
      <c r="P65" s="91">
        <f t="shared" si="20"/>
        <v>-536832.36866523826</v>
      </c>
      <c r="Q65" s="91">
        <f t="shared" si="20"/>
        <v>-555898.07565331762</v>
      </c>
      <c r="R65" s="91">
        <f t="shared" si="20"/>
        <v>-574963.78264139721</v>
      </c>
      <c r="S65" s="91">
        <f t="shared" si="20"/>
        <v>-594029.48962947691</v>
      </c>
      <c r="T65" s="92">
        <f>SUM(G65:S65)/13</f>
        <v>-479635.24770099955</v>
      </c>
      <c r="U65" s="82"/>
    </row>
    <row r="66" spans="1:21" ht="15.75" thickBot="1" x14ac:dyDescent="0.3">
      <c r="A66" s="82"/>
      <c r="B66" s="94"/>
      <c r="C66" s="95"/>
      <c r="D66" s="96"/>
      <c r="E66" s="95"/>
      <c r="F66" s="95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2"/>
      <c r="U66" s="82"/>
    </row>
    <row r="67" spans="1:21" x14ac:dyDescent="0.25">
      <c r="A67" s="82"/>
      <c r="B67" s="83" t="s">
        <v>414</v>
      </c>
      <c r="C67" s="84" t="s">
        <v>411</v>
      </c>
      <c r="D67" s="85">
        <f>'[1]Common Plant Allocation Factors'!C11</f>
        <v>0.19493367655493263</v>
      </c>
      <c r="E67" s="84"/>
      <c r="F67" s="84"/>
      <c r="G67" s="86">
        <f t="shared" ref="G67:S67" si="21">(G$26)*$D67</f>
        <v>2376437.415802883</v>
      </c>
      <c r="H67" s="86">
        <f t="shared" si="21"/>
        <v>2376437.415802883</v>
      </c>
      <c r="I67" s="86">
        <f t="shared" si="21"/>
        <v>2376437.415802883</v>
      </c>
      <c r="J67" s="86">
        <f t="shared" si="21"/>
        <v>2376437.415802883</v>
      </c>
      <c r="K67" s="86">
        <f t="shared" si="21"/>
        <v>2376437.415802883</v>
      </c>
      <c r="L67" s="86">
        <f t="shared" si="21"/>
        <v>2376437.415802883</v>
      </c>
      <c r="M67" s="86">
        <f t="shared" si="21"/>
        <v>2376437.415802883</v>
      </c>
      <c r="N67" s="86">
        <f t="shared" si="21"/>
        <v>2376437.415802883</v>
      </c>
      <c r="O67" s="86">
        <f t="shared" si="21"/>
        <v>2376437.415802883</v>
      </c>
      <c r="P67" s="86">
        <f t="shared" si="21"/>
        <v>2376437.415802883</v>
      </c>
      <c r="Q67" s="86">
        <f t="shared" si="21"/>
        <v>2376437.415802883</v>
      </c>
      <c r="R67" s="86">
        <f t="shared" si="21"/>
        <v>2376437.415802883</v>
      </c>
      <c r="S67" s="86">
        <f t="shared" si="21"/>
        <v>2376437.415802883</v>
      </c>
      <c r="T67" s="87"/>
      <c r="U67" s="82"/>
    </row>
    <row r="68" spans="1:21" x14ac:dyDescent="0.25">
      <c r="A68" s="82"/>
      <c r="B68" s="88"/>
      <c r="C68" s="89"/>
      <c r="D68" s="90"/>
      <c r="E68" s="89" t="s">
        <v>381</v>
      </c>
      <c r="F68" s="89"/>
      <c r="G68" s="91">
        <f>G67</f>
        <v>2376437.415802883</v>
      </c>
      <c r="H68" s="91">
        <f t="shared" ref="H68:S68" si="22">H67</f>
        <v>2376437.415802883</v>
      </c>
      <c r="I68" s="91">
        <f t="shared" si="22"/>
        <v>2376437.415802883</v>
      </c>
      <c r="J68" s="91">
        <f t="shared" si="22"/>
        <v>2376437.415802883</v>
      </c>
      <c r="K68" s="91">
        <f t="shared" si="22"/>
        <v>2376437.415802883</v>
      </c>
      <c r="L68" s="91">
        <f t="shared" si="22"/>
        <v>2376437.415802883</v>
      </c>
      <c r="M68" s="91">
        <f t="shared" si="22"/>
        <v>2376437.415802883</v>
      </c>
      <c r="N68" s="91">
        <f t="shared" si="22"/>
        <v>2376437.415802883</v>
      </c>
      <c r="O68" s="91">
        <f t="shared" si="22"/>
        <v>2376437.415802883</v>
      </c>
      <c r="P68" s="91">
        <f t="shared" si="22"/>
        <v>2376437.415802883</v>
      </c>
      <c r="Q68" s="91">
        <f t="shared" si="22"/>
        <v>2376437.415802883</v>
      </c>
      <c r="R68" s="91">
        <f t="shared" si="22"/>
        <v>2376437.415802883</v>
      </c>
      <c r="S68" s="91">
        <f t="shared" si="22"/>
        <v>2376437.415802883</v>
      </c>
      <c r="T68" s="92">
        <f>SUM(G68:S68)/13</f>
        <v>2376437.4158028821</v>
      </c>
      <c r="U68" s="82"/>
    </row>
    <row r="69" spans="1:21" x14ac:dyDescent="0.25">
      <c r="A69" s="82"/>
      <c r="B69" s="88"/>
      <c r="C69" s="89"/>
      <c r="D69" s="90"/>
      <c r="E69" s="89"/>
      <c r="F69" s="89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2"/>
      <c r="U69" s="82"/>
    </row>
    <row r="70" spans="1:21" x14ac:dyDescent="0.25">
      <c r="A70" s="82"/>
      <c r="B70" s="88"/>
      <c r="C70" s="89" t="s">
        <v>412</v>
      </c>
      <c r="D70" s="90">
        <f>D67</f>
        <v>0.19493367655493263</v>
      </c>
      <c r="E70" s="89"/>
      <c r="F70" s="89"/>
      <c r="G70" s="79">
        <f t="shared" ref="G70:S70" si="23">G$8*$D70</f>
        <v>0</v>
      </c>
      <c r="H70" s="79">
        <f t="shared" si="23"/>
        <v>0</v>
      </c>
      <c r="I70" s="79">
        <f t="shared" si="23"/>
        <v>0</v>
      </c>
      <c r="J70" s="79">
        <f t="shared" si="23"/>
        <v>0</v>
      </c>
      <c r="K70" s="79">
        <f t="shared" si="23"/>
        <v>0</v>
      </c>
      <c r="L70" s="79">
        <f t="shared" si="23"/>
        <v>0</v>
      </c>
      <c r="M70" s="79">
        <f t="shared" si="23"/>
        <v>0</v>
      </c>
      <c r="N70" s="79">
        <f t="shared" si="23"/>
        <v>0</v>
      </c>
      <c r="O70" s="79">
        <f t="shared" si="23"/>
        <v>0</v>
      </c>
      <c r="P70" s="79">
        <f t="shared" si="23"/>
        <v>0</v>
      </c>
      <c r="Q70" s="79">
        <f t="shared" si="23"/>
        <v>0</v>
      </c>
      <c r="R70" s="79">
        <f t="shared" si="23"/>
        <v>0</v>
      </c>
      <c r="S70" s="79">
        <f t="shared" si="23"/>
        <v>0</v>
      </c>
      <c r="T70" s="92"/>
      <c r="U70" s="82"/>
    </row>
    <row r="71" spans="1:21" x14ac:dyDescent="0.25">
      <c r="A71" s="82"/>
      <c r="B71" s="88"/>
      <c r="C71" s="89"/>
      <c r="D71" s="90"/>
      <c r="E71" s="89" t="s">
        <v>69</v>
      </c>
      <c r="F71" s="89"/>
      <c r="G71" s="91">
        <f>G70</f>
        <v>0</v>
      </c>
      <c r="H71" s="91">
        <f t="shared" ref="H71:S71" si="24">H70</f>
        <v>0</v>
      </c>
      <c r="I71" s="91">
        <f t="shared" si="24"/>
        <v>0</v>
      </c>
      <c r="J71" s="91">
        <f t="shared" si="24"/>
        <v>0</v>
      </c>
      <c r="K71" s="91">
        <f t="shared" si="24"/>
        <v>0</v>
      </c>
      <c r="L71" s="91">
        <f t="shared" si="24"/>
        <v>0</v>
      </c>
      <c r="M71" s="91">
        <f t="shared" si="24"/>
        <v>0</v>
      </c>
      <c r="N71" s="91">
        <f t="shared" si="24"/>
        <v>0</v>
      </c>
      <c r="O71" s="91">
        <f t="shared" si="24"/>
        <v>0</v>
      </c>
      <c r="P71" s="91">
        <f t="shared" si="24"/>
        <v>0</v>
      </c>
      <c r="Q71" s="91">
        <f t="shared" si="24"/>
        <v>0</v>
      </c>
      <c r="R71" s="91">
        <f t="shared" si="24"/>
        <v>0</v>
      </c>
      <c r="S71" s="91">
        <f t="shared" si="24"/>
        <v>0</v>
      </c>
      <c r="T71" s="92">
        <f>SUM(G71:S71)/13</f>
        <v>0</v>
      </c>
      <c r="U71" s="82"/>
    </row>
    <row r="72" spans="1:21" x14ac:dyDescent="0.25">
      <c r="A72" s="82"/>
      <c r="B72" s="88"/>
      <c r="C72" s="89"/>
      <c r="D72" s="90"/>
      <c r="E72" s="89"/>
      <c r="F72" s="89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2"/>
      <c r="U72" s="82"/>
    </row>
    <row r="73" spans="1:21" x14ac:dyDescent="0.25">
      <c r="A73" s="82"/>
      <c r="B73" s="88"/>
      <c r="C73" s="93" t="s">
        <v>415</v>
      </c>
      <c r="D73" s="90">
        <f>+D67</f>
        <v>0.19493367655493263</v>
      </c>
      <c r="E73" s="89"/>
      <c r="F73" s="89"/>
      <c r="G73" s="79">
        <f>G$48*$D73</f>
        <v>-177659.66974308933</v>
      </c>
      <c r="H73" s="79">
        <f>H$48*$D73</f>
        <v>-186933.56602906753</v>
      </c>
      <c r="I73" s="79">
        <f t="shared" ref="I73:S73" si="25">I$48*$D73</f>
        <v>-196207.46231504565</v>
      </c>
      <c r="J73" s="79">
        <f t="shared" si="25"/>
        <v>-205481.35860102379</v>
      </c>
      <c r="K73" s="79">
        <f t="shared" si="25"/>
        <v>-214755.25488700197</v>
      </c>
      <c r="L73" s="79">
        <f t="shared" si="25"/>
        <v>-224029.15117298017</v>
      </c>
      <c r="M73" s="79">
        <f t="shared" si="25"/>
        <v>-233303.04745895826</v>
      </c>
      <c r="N73" s="79">
        <f t="shared" si="25"/>
        <v>-242576.94374493652</v>
      </c>
      <c r="O73" s="79">
        <f t="shared" si="25"/>
        <v>-251850.84003091458</v>
      </c>
      <c r="P73" s="79">
        <f t="shared" si="25"/>
        <v>-261124.73631689278</v>
      </c>
      <c r="Q73" s="79">
        <f t="shared" si="25"/>
        <v>-270398.63260287081</v>
      </c>
      <c r="R73" s="79">
        <f t="shared" si="25"/>
        <v>-279672.52888884902</v>
      </c>
      <c r="S73" s="79">
        <f t="shared" si="25"/>
        <v>-288946.42517482728</v>
      </c>
      <c r="T73" s="92"/>
      <c r="U73" s="82"/>
    </row>
    <row r="74" spans="1:21" x14ac:dyDescent="0.25">
      <c r="A74" s="82"/>
      <c r="B74" s="88"/>
      <c r="C74" s="89"/>
      <c r="D74" s="90"/>
      <c r="E74" s="89" t="s">
        <v>396</v>
      </c>
      <c r="F74" s="89"/>
      <c r="G74" s="91">
        <f>+G73</f>
        <v>-177659.66974308933</v>
      </c>
      <c r="H74" s="91">
        <f t="shared" ref="H74:S74" si="26">+H73</f>
        <v>-186933.56602906753</v>
      </c>
      <c r="I74" s="91">
        <f t="shared" si="26"/>
        <v>-196207.46231504565</v>
      </c>
      <c r="J74" s="91">
        <f t="shared" si="26"/>
        <v>-205481.35860102379</v>
      </c>
      <c r="K74" s="91">
        <f t="shared" si="26"/>
        <v>-214755.25488700197</v>
      </c>
      <c r="L74" s="91">
        <f t="shared" si="26"/>
        <v>-224029.15117298017</v>
      </c>
      <c r="M74" s="91">
        <f t="shared" si="26"/>
        <v>-233303.04745895826</v>
      </c>
      <c r="N74" s="91">
        <f t="shared" si="26"/>
        <v>-242576.94374493652</v>
      </c>
      <c r="O74" s="91">
        <f t="shared" si="26"/>
        <v>-251850.84003091458</v>
      </c>
      <c r="P74" s="91">
        <f t="shared" si="26"/>
        <v>-261124.73631689278</v>
      </c>
      <c r="Q74" s="91">
        <f t="shared" si="26"/>
        <v>-270398.63260287081</v>
      </c>
      <c r="R74" s="91">
        <f t="shared" si="26"/>
        <v>-279672.52888884902</v>
      </c>
      <c r="S74" s="91">
        <f t="shared" si="26"/>
        <v>-288946.42517482728</v>
      </c>
      <c r="T74" s="92">
        <f>SUM(G74:S74)/13</f>
        <v>-233303.04745895829</v>
      </c>
      <c r="U74" s="82"/>
    </row>
    <row r="75" spans="1:21" ht="15.75" thickBot="1" x14ac:dyDescent="0.3">
      <c r="A75" s="82"/>
      <c r="B75" s="94"/>
      <c r="C75" s="95"/>
      <c r="D75" s="96"/>
      <c r="E75" s="95"/>
      <c r="F75" s="95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2"/>
      <c r="U75" s="82"/>
    </row>
    <row r="76" spans="1:21" x14ac:dyDescent="0.25">
      <c r="A76" s="82"/>
      <c r="B76" s="83" t="s">
        <v>416</v>
      </c>
      <c r="C76" s="84" t="s">
        <v>411</v>
      </c>
      <c r="D76" s="85">
        <f>'[1]Common Plant Allocation Factors'!B11</f>
        <v>0.17538138419273502</v>
      </c>
      <c r="E76" s="84"/>
      <c r="F76" s="84"/>
      <c r="G76" s="86">
        <f t="shared" ref="G76:S76" si="27">(G$26)*$D76</f>
        <v>2138075.3228314845</v>
      </c>
      <c r="H76" s="86">
        <f t="shared" si="27"/>
        <v>2138075.3228314845</v>
      </c>
      <c r="I76" s="86">
        <f t="shared" si="27"/>
        <v>2138075.3228314845</v>
      </c>
      <c r="J76" s="86">
        <f t="shared" si="27"/>
        <v>2138075.3228314845</v>
      </c>
      <c r="K76" s="86">
        <f t="shared" si="27"/>
        <v>2138075.3228314845</v>
      </c>
      <c r="L76" s="86">
        <f t="shared" si="27"/>
        <v>2138075.3228314845</v>
      </c>
      <c r="M76" s="86">
        <f t="shared" si="27"/>
        <v>2138075.3228314845</v>
      </c>
      <c r="N76" s="86">
        <f t="shared" si="27"/>
        <v>2138075.3228314845</v>
      </c>
      <c r="O76" s="86">
        <f t="shared" si="27"/>
        <v>2138075.3228314845</v>
      </c>
      <c r="P76" s="86">
        <f t="shared" si="27"/>
        <v>2138075.3228314845</v>
      </c>
      <c r="Q76" s="86">
        <f t="shared" si="27"/>
        <v>2138075.3228314845</v>
      </c>
      <c r="R76" s="86">
        <f t="shared" si="27"/>
        <v>2138075.3228314845</v>
      </c>
      <c r="S76" s="86">
        <f t="shared" si="27"/>
        <v>2138075.3228314845</v>
      </c>
      <c r="T76" s="87"/>
      <c r="U76" s="82"/>
    </row>
    <row r="77" spans="1:21" x14ac:dyDescent="0.25">
      <c r="A77" s="82"/>
      <c r="B77" s="88"/>
      <c r="C77" s="89"/>
      <c r="D77" s="90"/>
      <c r="E77" s="89" t="s">
        <v>381</v>
      </c>
      <c r="F77" s="89"/>
      <c r="G77" s="91">
        <f>G76</f>
        <v>2138075.3228314845</v>
      </c>
      <c r="H77" s="91">
        <f t="shared" ref="H77:S77" si="28">H76</f>
        <v>2138075.3228314845</v>
      </c>
      <c r="I77" s="91">
        <f t="shared" si="28"/>
        <v>2138075.3228314845</v>
      </c>
      <c r="J77" s="91">
        <f t="shared" si="28"/>
        <v>2138075.3228314845</v>
      </c>
      <c r="K77" s="91">
        <f t="shared" si="28"/>
        <v>2138075.3228314845</v>
      </c>
      <c r="L77" s="91">
        <f t="shared" si="28"/>
        <v>2138075.3228314845</v>
      </c>
      <c r="M77" s="91">
        <f t="shared" si="28"/>
        <v>2138075.3228314845</v>
      </c>
      <c r="N77" s="91">
        <f t="shared" si="28"/>
        <v>2138075.3228314845</v>
      </c>
      <c r="O77" s="91">
        <f t="shared" si="28"/>
        <v>2138075.3228314845</v>
      </c>
      <c r="P77" s="91">
        <f t="shared" si="28"/>
        <v>2138075.3228314845</v>
      </c>
      <c r="Q77" s="91">
        <f t="shared" si="28"/>
        <v>2138075.3228314845</v>
      </c>
      <c r="R77" s="91">
        <f t="shared" si="28"/>
        <v>2138075.3228314845</v>
      </c>
      <c r="S77" s="91">
        <f t="shared" si="28"/>
        <v>2138075.3228314845</v>
      </c>
      <c r="T77" s="92">
        <f>SUM(G77:S77)/13</f>
        <v>2138075.322831485</v>
      </c>
      <c r="U77" s="82"/>
    </row>
    <row r="78" spans="1:21" x14ac:dyDescent="0.25">
      <c r="A78" s="82"/>
      <c r="B78" s="88"/>
      <c r="C78" s="89"/>
      <c r="D78" s="90"/>
      <c r="E78" s="89"/>
      <c r="F78" s="89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2"/>
      <c r="U78" s="82"/>
    </row>
    <row r="79" spans="1:21" x14ac:dyDescent="0.25">
      <c r="A79" s="82"/>
      <c r="B79" s="88"/>
      <c r="C79" s="89" t="s">
        <v>412</v>
      </c>
      <c r="D79" s="90">
        <f>D76</f>
        <v>0.17538138419273502</v>
      </c>
      <c r="E79" s="89"/>
      <c r="F79" s="89"/>
      <c r="G79" s="79">
        <f>G$8*$D79</f>
        <v>0</v>
      </c>
      <c r="H79" s="79">
        <f t="shared" ref="H79:S79" si="29">H$8*$D79</f>
        <v>0</v>
      </c>
      <c r="I79" s="79">
        <f t="shared" si="29"/>
        <v>0</v>
      </c>
      <c r="J79" s="79">
        <f t="shared" si="29"/>
        <v>0</v>
      </c>
      <c r="K79" s="79">
        <f t="shared" si="29"/>
        <v>0</v>
      </c>
      <c r="L79" s="79">
        <f t="shared" si="29"/>
        <v>0</v>
      </c>
      <c r="M79" s="79">
        <f t="shared" si="29"/>
        <v>0</v>
      </c>
      <c r="N79" s="79">
        <f t="shared" si="29"/>
        <v>0</v>
      </c>
      <c r="O79" s="79">
        <f t="shared" si="29"/>
        <v>0</v>
      </c>
      <c r="P79" s="79">
        <f t="shared" si="29"/>
        <v>0</v>
      </c>
      <c r="Q79" s="79">
        <f t="shared" si="29"/>
        <v>0</v>
      </c>
      <c r="R79" s="79">
        <f t="shared" si="29"/>
        <v>0</v>
      </c>
      <c r="S79" s="79">
        <f t="shared" si="29"/>
        <v>0</v>
      </c>
      <c r="T79" s="92"/>
      <c r="U79" s="82"/>
    </row>
    <row r="80" spans="1:21" x14ac:dyDescent="0.25">
      <c r="A80" s="82"/>
      <c r="B80" s="88"/>
      <c r="C80" s="89"/>
      <c r="D80" s="90"/>
      <c r="E80" s="89" t="s">
        <v>69</v>
      </c>
      <c r="F80" s="89"/>
      <c r="G80" s="91">
        <f>G79</f>
        <v>0</v>
      </c>
      <c r="H80" s="91">
        <f t="shared" ref="H80:S80" si="30">H79</f>
        <v>0</v>
      </c>
      <c r="I80" s="91">
        <f t="shared" si="30"/>
        <v>0</v>
      </c>
      <c r="J80" s="91">
        <f t="shared" si="30"/>
        <v>0</v>
      </c>
      <c r="K80" s="91">
        <f t="shared" si="30"/>
        <v>0</v>
      </c>
      <c r="L80" s="91">
        <f t="shared" si="30"/>
        <v>0</v>
      </c>
      <c r="M80" s="91">
        <f t="shared" si="30"/>
        <v>0</v>
      </c>
      <c r="N80" s="91">
        <f t="shared" si="30"/>
        <v>0</v>
      </c>
      <c r="O80" s="91">
        <f t="shared" si="30"/>
        <v>0</v>
      </c>
      <c r="P80" s="91">
        <f t="shared" si="30"/>
        <v>0</v>
      </c>
      <c r="Q80" s="91">
        <f t="shared" si="30"/>
        <v>0</v>
      </c>
      <c r="R80" s="91">
        <f t="shared" si="30"/>
        <v>0</v>
      </c>
      <c r="S80" s="91">
        <f t="shared" si="30"/>
        <v>0</v>
      </c>
      <c r="T80" s="92">
        <f>SUM(G80:S80)/13</f>
        <v>0</v>
      </c>
      <c r="U80" s="82"/>
    </row>
    <row r="81" spans="1:21" x14ac:dyDescent="0.25">
      <c r="A81" s="82"/>
      <c r="B81" s="88"/>
      <c r="C81" s="93"/>
      <c r="D81" s="90"/>
      <c r="E81" s="89"/>
      <c r="F81" s="89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2"/>
      <c r="U81" s="82"/>
    </row>
    <row r="82" spans="1:21" x14ac:dyDescent="0.25">
      <c r="A82" s="82"/>
      <c r="B82" s="88"/>
      <c r="C82" s="89" t="s">
        <v>413</v>
      </c>
      <c r="D82" s="90">
        <f>D76</f>
        <v>0.17538138419273502</v>
      </c>
      <c r="E82" s="89"/>
      <c r="F82" s="89"/>
      <c r="G82" s="79">
        <f>(G$48)*$D82</f>
        <v>-159839.99966258646</v>
      </c>
      <c r="H82" s="79">
        <f t="shared" ref="H82:S82" si="31">(H$48)*$D82</f>
        <v>-168183.70299922558</v>
      </c>
      <c r="I82" s="79">
        <f t="shared" si="31"/>
        <v>-176527.40633586462</v>
      </c>
      <c r="J82" s="79">
        <f t="shared" si="31"/>
        <v>-184871.10967250369</v>
      </c>
      <c r="K82" s="79">
        <f t="shared" si="31"/>
        <v>-193214.81300914279</v>
      </c>
      <c r="L82" s="79">
        <f t="shared" si="31"/>
        <v>-201558.51634578189</v>
      </c>
      <c r="M82" s="79">
        <f t="shared" si="31"/>
        <v>-209902.21968242092</v>
      </c>
      <c r="N82" s="79">
        <f t="shared" si="31"/>
        <v>-218245.92301906008</v>
      </c>
      <c r="O82" s="79">
        <f t="shared" si="31"/>
        <v>-226589.62635569906</v>
      </c>
      <c r="P82" s="79">
        <f t="shared" si="31"/>
        <v>-234933.32969233819</v>
      </c>
      <c r="Q82" s="79">
        <f t="shared" si="31"/>
        <v>-243277.03302897717</v>
      </c>
      <c r="R82" s="79">
        <f t="shared" si="31"/>
        <v>-251620.73636561629</v>
      </c>
      <c r="S82" s="79">
        <f t="shared" si="31"/>
        <v>-259964.43970225545</v>
      </c>
      <c r="T82" s="92"/>
      <c r="U82" s="82"/>
    </row>
    <row r="83" spans="1:21" x14ac:dyDescent="0.25">
      <c r="A83" s="82"/>
      <c r="B83" s="88"/>
      <c r="C83" s="89"/>
      <c r="D83" s="90"/>
      <c r="E83" s="89" t="s">
        <v>396</v>
      </c>
      <c r="F83" s="89"/>
      <c r="G83" s="91">
        <f>G82</f>
        <v>-159839.99966258646</v>
      </c>
      <c r="H83" s="91">
        <f t="shared" ref="H83:S83" si="32">H82</f>
        <v>-168183.70299922558</v>
      </c>
      <c r="I83" s="91">
        <f t="shared" si="32"/>
        <v>-176527.40633586462</v>
      </c>
      <c r="J83" s="91">
        <f t="shared" si="32"/>
        <v>-184871.10967250369</v>
      </c>
      <c r="K83" s="91">
        <f t="shared" si="32"/>
        <v>-193214.81300914279</v>
      </c>
      <c r="L83" s="91">
        <f t="shared" si="32"/>
        <v>-201558.51634578189</v>
      </c>
      <c r="M83" s="91">
        <f t="shared" si="32"/>
        <v>-209902.21968242092</v>
      </c>
      <c r="N83" s="91">
        <f t="shared" si="32"/>
        <v>-218245.92301906008</v>
      </c>
      <c r="O83" s="91">
        <f t="shared" si="32"/>
        <v>-226589.62635569906</v>
      </c>
      <c r="P83" s="91">
        <f t="shared" si="32"/>
        <v>-234933.32969233819</v>
      </c>
      <c r="Q83" s="91">
        <f t="shared" si="32"/>
        <v>-243277.03302897717</v>
      </c>
      <c r="R83" s="91">
        <f t="shared" si="32"/>
        <v>-251620.73636561629</v>
      </c>
      <c r="S83" s="91">
        <f t="shared" si="32"/>
        <v>-259964.43970225545</v>
      </c>
      <c r="T83" s="92">
        <f>SUM(G83:S83)/13</f>
        <v>-209902.21968242095</v>
      </c>
      <c r="U83" s="82"/>
    </row>
    <row r="84" spans="1:21" ht="15.75" thickBot="1" x14ac:dyDescent="0.3">
      <c r="A84" s="82"/>
      <c r="B84" s="94"/>
      <c r="C84" s="95"/>
      <c r="D84" s="96"/>
      <c r="E84" s="95"/>
      <c r="F84" s="95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2"/>
      <c r="U84" s="82"/>
    </row>
    <row r="85" spans="1:21" x14ac:dyDescent="0.25">
      <c r="A85" s="82"/>
      <c r="B85" s="83" t="s">
        <v>417</v>
      </c>
      <c r="C85" s="84" t="s">
        <v>411</v>
      </c>
      <c r="D85" s="85">
        <f>'[1]Common Plant Allocation Factors'!D11</f>
        <v>-2.6963863219386323E-3</v>
      </c>
      <c r="E85" s="84"/>
      <c r="F85" s="84"/>
      <c r="G85" s="86">
        <f>(G$26)*$D85</f>
        <v>-32871.658997866165</v>
      </c>
      <c r="H85" s="86">
        <f t="shared" ref="H85:S85" si="33">(H$26)*$D85</f>
        <v>-32871.658997866165</v>
      </c>
      <c r="I85" s="86">
        <f t="shared" si="33"/>
        <v>-32871.658997866165</v>
      </c>
      <c r="J85" s="86">
        <f t="shared" si="33"/>
        <v>-32871.658997866165</v>
      </c>
      <c r="K85" s="86">
        <f t="shared" si="33"/>
        <v>-32871.658997866165</v>
      </c>
      <c r="L85" s="86">
        <f t="shared" si="33"/>
        <v>-32871.658997866165</v>
      </c>
      <c r="M85" s="86">
        <f t="shared" si="33"/>
        <v>-32871.658997866165</v>
      </c>
      <c r="N85" s="86">
        <f t="shared" si="33"/>
        <v>-32871.658997866165</v>
      </c>
      <c r="O85" s="86">
        <f t="shared" si="33"/>
        <v>-32871.658997866165</v>
      </c>
      <c r="P85" s="86">
        <f t="shared" si="33"/>
        <v>-32871.658997866165</v>
      </c>
      <c r="Q85" s="86">
        <f t="shared" si="33"/>
        <v>-32871.658997866165</v>
      </c>
      <c r="R85" s="86">
        <f t="shared" si="33"/>
        <v>-32871.658997866165</v>
      </c>
      <c r="S85" s="86">
        <f t="shared" si="33"/>
        <v>-32871.658997866165</v>
      </c>
      <c r="T85" s="87"/>
      <c r="U85" s="82"/>
    </row>
    <row r="86" spans="1:21" x14ac:dyDescent="0.25">
      <c r="A86" s="82"/>
      <c r="B86" s="88"/>
      <c r="C86" s="98" t="s">
        <v>418</v>
      </c>
      <c r="D86" s="90"/>
      <c r="E86" s="89" t="s">
        <v>381</v>
      </c>
      <c r="F86" s="89"/>
      <c r="G86" s="91">
        <f>G85</f>
        <v>-32871.658997866165</v>
      </c>
      <c r="H86" s="91">
        <f t="shared" ref="H86:S86" si="34">H85</f>
        <v>-32871.658997866165</v>
      </c>
      <c r="I86" s="91">
        <f t="shared" si="34"/>
        <v>-32871.658997866165</v>
      </c>
      <c r="J86" s="91">
        <f t="shared" si="34"/>
        <v>-32871.658997866165</v>
      </c>
      <c r="K86" s="91">
        <f t="shared" si="34"/>
        <v>-32871.658997866165</v>
      </c>
      <c r="L86" s="91">
        <f t="shared" si="34"/>
        <v>-32871.658997866165</v>
      </c>
      <c r="M86" s="91">
        <f t="shared" si="34"/>
        <v>-32871.658997866165</v>
      </c>
      <c r="N86" s="91">
        <f t="shared" si="34"/>
        <v>-32871.658997866165</v>
      </c>
      <c r="O86" s="91">
        <f t="shared" si="34"/>
        <v>-32871.658997866165</v>
      </c>
      <c r="P86" s="91">
        <f t="shared" si="34"/>
        <v>-32871.658997866165</v>
      </c>
      <c r="Q86" s="91">
        <f t="shared" si="34"/>
        <v>-32871.658997866165</v>
      </c>
      <c r="R86" s="91">
        <f t="shared" si="34"/>
        <v>-32871.658997866165</v>
      </c>
      <c r="S86" s="91">
        <f t="shared" si="34"/>
        <v>-32871.658997866165</v>
      </c>
      <c r="T86" s="92">
        <f>SUM(G86:S86)/13</f>
        <v>-32871.658997866158</v>
      </c>
      <c r="U86" s="82"/>
    </row>
    <row r="87" spans="1:21" x14ac:dyDescent="0.25">
      <c r="A87" s="82"/>
      <c r="B87" s="88"/>
      <c r="C87" s="89"/>
      <c r="D87" s="90"/>
      <c r="E87" s="89"/>
      <c r="F87" s="89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2"/>
      <c r="U87" s="82"/>
    </row>
    <row r="88" spans="1:21" x14ac:dyDescent="0.25">
      <c r="A88" s="82"/>
      <c r="B88" s="88"/>
      <c r="C88" s="89" t="s">
        <v>412</v>
      </c>
      <c r="D88" s="90">
        <f>D85</f>
        <v>-2.6963863219386323E-3</v>
      </c>
      <c r="E88" s="89"/>
      <c r="F88" s="89"/>
      <c r="G88" s="79">
        <f>G$8*$D88</f>
        <v>0</v>
      </c>
      <c r="H88" s="79">
        <f t="shared" ref="H88:S88" si="35">H$8*$D88</f>
        <v>0</v>
      </c>
      <c r="I88" s="79">
        <f t="shared" si="35"/>
        <v>0</v>
      </c>
      <c r="J88" s="79">
        <f t="shared" si="35"/>
        <v>0</v>
      </c>
      <c r="K88" s="79">
        <f t="shared" si="35"/>
        <v>0</v>
      </c>
      <c r="L88" s="79">
        <f t="shared" si="35"/>
        <v>0</v>
      </c>
      <c r="M88" s="79">
        <f t="shared" si="35"/>
        <v>0</v>
      </c>
      <c r="N88" s="79">
        <f t="shared" si="35"/>
        <v>0</v>
      </c>
      <c r="O88" s="79">
        <f t="shared" si="35"/>
        <v>0</v>
      </c>
      <c r="P88" s="79">
        <f t="shared" si="35"/>
        <v>0</v>
      </c>
      <c r="Q88" s="79">
        <f t="shared" si="35"/>
        <v>0</v>
      </c>
      <c r="R88" s="79">
        <f t="shared" si="35"/>
        <v>0</v>
      </c>
      <c r="S88" s="79">
        <f t="shared" si="35"/>
        <v>0</v>
      </c>
      <c r="T88" s="92"/>
      <c r="U88" s="82"/>
    </row>
    <row r="89" spans="1:21" x14ac:dyDescent="0.25">
      <c r="A89" s="82"/>
      <c r="B89" s="88"/>
      <c r="C89" s="89"/>
      <c r="D89" s="90"/>
      <c r="E89" s="89" t="s">
        <v>69</v>
      </c>
      <c r="F89" s="89"/>
      <c r="G89" s="91">
        <f>G88</f>
        <v>0</v>
      </c>
      <c r="H89" s="91">
        <f t="shared" ref="H89:S89" si="36">H88</f>
        <v>0</v>
      </c>
      <c r="I89" s="91">
        <f t="shared" si="36"/>
        <v>0</v>
      </c>
      <c r="J89" s="91">
        <f t="shared" si="36"/>
        <v>0</v>
      </c>
      <c r="K89" s="91">
        <f t="shared" si="36"/>
        <v>0</v>
      </c>
      <c r="L89" s="91">
        <f t="shared" si="36"/>
        <v>0</v>
      </c>
      <c r="M89" s="91">
        <f t="shared" si="36"/>
        <v>0</v>
      </c>
      <c r="N89" s="91">
        <f t="shared" si="36"/>
        <v>0</v>
      </c>
      <c r="O89" s="91">
        <f t="shared" si="36"/>
        <v>0</v>
      </c>
      <c r="P89" s="91">
        <f t="shared" si="36"/>
        <v>0</v>
      </c>
      <c r="Q89" s="91">
        <f t="shared" si="36"/>
        <v>0</v>
      </c>
      <c r="R89" s="91">
        <f t="shared" si="36"/>
        <v>0</v>
      </c>
      <c r="S89" s="91">
        <f t="shared" si="36"/>
        <v>0</v>
      </c>
      <c r="T89" s="92">
        <f>SUM(G89:S89)/13</f>
        <v>0</v>
      </c>
      <c r="U89" s="82"/>
    </row>
    <row r="90" spans="1:21" x14ac:dyDescent="0.25">
      <c r="A90" s="82"/>
      <c r="B90" s="88"/>
      <c r="C90" s="93"/>
      <c r="D90" s="90"/>
      <c r="E90" s="89"/>
      <c r="F90" s="89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2"/>
      <c r="U90" s="82"/>
    </row>
    <row r="91" spans="1:21" x14ac:dyDescent="0.25">
      <c r="A91" s="82"/>
      <c r="B91" s="88"/>
      <c r="C91" s="89" t="s">
        <v>413</v>
      </c>
      <c r="D91" s="90">
        <f>D85</f>
        <v>-2.6963863219386323E-3</v>
      </c>
      <c r="E91" s="89"/>
      <c r="F91" s="89"/>
      <c r="G91" s="79">
        <f>(G$48)*$D91</f>
        <v>2457.4466142611677</v>
      </c>
      <c r="H91" s="79">
        <f t="shared" ref="H91:S91" si="37">(H$48)*$D91</f>
        <v>2585.726178564888</v>
      </c>
      <c r="I91" s="79">
        <f t="shared" si="37"/>
        <v>2714.0057428686073</v>
      </c>
      <c r="J91" s="79">
        <f t="shared" si="37"/>
        <v>2842.2853071723271</v>
      </c>
      <c r="K91" s="79">
        <f t="shared" si="37"/>
        <v>2970.5648714760468</v>
      </c>
      <c r="L91" s="79">
        <f t="shared" si="37"/>
        <v>3098.8444357797671</v>
      </c>
      <c r="M91" s="79">
        <f t="shared" si="37"/>
        <v>3227.124000083486</v>
      </c>
      <c r="N91" s="79">
        <f t="shared" si="37"/>
        <v>3355.4035643872071</v>
      </c>
      <c r="O91" s="79">
        <f t="shared" si="37"/>
        <v>3483.6831286909255</v>
      </c>
      <c r="P91" s="79">
        <f t="shared" si="37"/>
        <v>3611.9626929946457</v>
      </c>
      <c r="Q91" s="79">
        <f t="shared" si="37"/>
        <v>3740.2422572983642</v>
      </c>
      <c r="R91" s="79">
        <f t="shared" si="37"/>
        <v>3868.5218216020849</v>
      </c>
      <c r="S91" s="79">
        <f t="shared" si="37"/>
        <v>3996.8013859058055</v>
      </c>
      <c r="T91" s="92"/>
      <c r="U91" s="82"/>
    </row>
    <row r="92" spans="1:21" x14ac:dyDescent="0.25">
      <c r="A92" s="82"/>
      <c r="B92" s="88"/>
      <c r="C92" s="89"/>
      <c r="D92" s="90"/>
      <c r="E92" s="89" t="s">
        <v>396</v>
      </c>
      <c r="F92" s="89"/>
      <c r="G92" s="91">
        <f>G91</f>
        <v>2457.4466142611677</v>
      </c>
      <c r="H92" s="91">
        <f t="shared" ref="H92:S92" si="38">H91</f>
        <v>2585.726178564888</v>
      </c>
      <c r="I92" s="91">
        <f t="shared" si="38"/>
        <v>2714.0057428686073</v>
      </c>
      <c r="J92" s="91">
        <f t="shared" si="38"/>
        <v>2842.2853071723271</v>
      </c>
      <c r="K92" s="91">
        <f t="shared" si="38"/>
        <v>2970.5648714760468</v>
      </c>
      <c r="L92" s="91">
        <f t="shared" si="38"/>
        <v>3098.8444357797671</v>
      </c>
      <c r="M92" s="91">
        <f t="shared" si="38"/>
        <v>3227.124000083486</v>
      </c>
      <c r="N92" s="91">
        <f t="shared" si="38"/>
        <v>3355.4035643872071</v>
      </c>
      <c r="O92" s="91">
        <f t="shared" si="38"/>
        <v>3483.6831286909255</v>
      </c>
      <c r="P92" s="91">
        <f t="shared" si="38"/>
        <v>3611.9626929946457</v>
      </c>
      <c r="Q92" s="91">
        <f t="shared" si="38"/>
        <v>3740.2422572983642</v>
      </c>
      <c r="R92" s="91">
        <f t="shared" si="38"/>
        <v>3868.5218216020849</v>
      </c>
      <c r="S92" s="91">
        <f t="shared" si="38"/>
        <v>3996.8013859058055</v>
      </c>
      <c r="T92" s="92">
        <f>SUM(G92:S92)/13</f>
        <v>3227.1240000834869</v>
      </c>
      <c r="U92" s="82"/>
    </row>
    <row r="93" spans="1:21" ht="15.75" thickBot="1" x14ac:dyDescent="0.3">
      <c r="A93" s="82"/>
      <c r="B93" s="94"/>
      <c r="C93" s="95"/>
      <c r="D93" s="96"/>
      <c r="E93" s="95"/>
      <c r="F93" s="95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2"/>
      <c r="U93" s="82"/>
    </row>
    <row r="94" spans="1:21" x14ac:dyDescent="0.25">
      <c r="A94" s="82"/>
      <c r="B94" s="83" t="s">
        <v>419</v>
      </c>
      <c r="C94" s="84" t="s">
        <v>411</v>
      </c>
      <c r="D94" s="85">
        <f>'[1]Common Plant Allocation Factors'!F11</f>
        <v>2.4706719004354946E-3</v>
      </c>
      <c r="E94" s="84"/>
      <c r="F94" s="84"/>
      <c r="G94" s="86">
        <f>(G$26)*$D94</f>
        <v>30119.973368035025</v>
      </c>
      <c r="H94" s="86">
        <f t="shared" ref="H94:S94" si="39">(H$26)*$D94</f>
        <v>30119.973368035025</v>
      </c>
      <c r="I94" s="86">
        <f t="shared" si="39"/>
        <v>30119.973368035025</v>
      </c>
      <c r="J94" s="86">
        <f t="shared" si="39"/>
        <v>30119.973368035025</v>
      </c>
      <c r="K94" s="86">
        <f t="shared" si="39"/>
        <v>30119.973368035025</v>
      </c>
      <c r="L94" s="86">
        <f t="shared" si="39"/>
        <v>30119.973368035025</v>
      </c>
      <c r="M94" s="86">
        <f t="shared" si="39"/>
        <v>30119.973368035025</v>
      </c>
      <c r="N94" s="86">
        <f t="shared" si="39"/>
        <v>30119.973368035025</v>
      </c>
      <c r="O94" s="86">
        <f t="shared" si="39"/>
        <v>30119.973368035025</v>
      </c>
      <c r="P94" s="86">
        <f t="shared" si="39"/>
        <v>30119.973368035025</v>
      </c>
      <c r="Q94" s="86">
        <f t="shared" si="39"/>
        <v>30119.973368035025</v>
      </c>
      <c r="R94" s="86">
        <f t="shared" si="39"/>
        <v>30119.973368035025</v>
      </c>
      <c r="S94" s="86">
        <f t="shared" si="39"/>
        <v>30119.973368035025</v>
      </c>
      <c r="T94" s="87"/>
      <c r="U94" s="82"/>
    </row>
    <row r="95" spans="1:21" x14ac:dyDescent="0.25">
      <c r="A95" s="82"/>
      <c r="B95" s="88"/>
      <c r="C95" s="89"/>
      <c r="D95" s="90"/>
      <c r="E95" s="89" t="s">
        <v>381</v>
      </c>
      <c r="F95" s="89"/>
      <c r="G95" s="91">
        <f>G94</f>
        <v>30119.973368035025</v>
      </c>
      <c r="H95" s="91">
        <f t="shared" ref="H95:S95" si="40">H94</f>
        <v>30119.973368035025</v>
      </c>
      <c r="I95" s="91">
        <f t="shared" si="40"/>
        <v>30119.973368035025</v>
      </c>
      <c r="J95" s="91">
        <f t="shared" si="40"/>
        <v>30119.973368035025</v>
      </c>
      <c r="K95" s="91">
        <f t="shared" si="40"/>
        <v>30119.973368035025</v>
      </c>
      <c r="L95" s="91">
        <f t="shared" si="40"/>
        <v>30119.973368035025</v>
      </c>
      <c r="M95" s="91">
        <f t="shared" si="40"/>
        <v>30119.973368035025</v>
      </c>
      <c r="N95" s="91">
        <f t="shared" si="40"/>
        <v>30119.973368035025</v>
      </c>
      <c r="O95" s="91">
        <f t="shared" si="40"/>
        <v>30119.973368035025</v>
      </c>
      <c r="P95" s="91">
        <f t="shared" si="40"/>
        <v>30119.973368035025</v>
      </c>
      <c r="Q95" s="91">
        <f t="shared" si="40"/>
        <v>30119.973368035025</v>
      </c>
      <c r="R95" s="91">
        <f t="shared" si="40"/>
        <v>30119.973368035025</v>
      </c>
      <c r="S95" s="91">
        <f t="shared" si="40"/>
        <v>30119.973368035025</v>
      </c>
      <c r="T95" s="92">
        <f>SUM(G95:S95)/13</f>
        <v>30119.973368035029</v>
      </c>
      <c r="U95" s="82"/>
    </row>
    <row r="96" spans="1:21" x14ac:dyDescent="0.25">
      <c r="A96" s="82"/>
      <c r="B96" s="88"/>
      <c r="C96" s="89"/>
      <c r="D96" s="90"/>
      <c r="E96" s="89"/>
      <c r="F96" s="89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2"/>
      <c r="U96" s="82"/>
    </row>
    <row r="97" spans="1:21" x14ac:dyDescent="0.25">
      <c r="A97" s="82"/>
      <c r="B97" s="88"/>
      <c r="C97" s="89" t="s">
        <v>412</v>
      </c>
      <c r="D97" s="90">
        <f>D94</f>
        <v>2.4706719004354946E-3</v>
      </c>
      <c r="E97" s="89"/>
      <c r="F97" s="89"/>
      <c r="G97" s="79">
        <f>G$8*$D97</f>
        <v>0</v>
      </c>
      <c r="H97" s="79">
        <f t="shared" ref="H97:S97" si="41">H$8*$D97</f>
        <v>0</v>
      </c>
      <c r="I97" s="79">
        <f t="shared" si="41"/>
        <v>0</v>
      </c>
      <c r="J97" s="79">
        <f t="shared" si="41"/>
        <v>0</v>
      </c>
      <c r="K97" s="79">
        <f t="shared" si="41"/>
        <v>0</v>
      </c>
      <c r="L97" s="79">
        <f t="shared" si="41"/>
        <v>0</v>
      </c>
      <c r="M97" s="79">
        <f t="shared" si="41"/>
        <v>0</v>
      </c>
      <c r="N97" s="79">
        <f t="shared" si="41"/>
        <v>0</v>
      </c>
      <c r="O97" s="79">
        <f t="shared" si="41"/>
        <v>0</v>
      </c>
      <c r="P97" s="79">
        <f t="shared" si="41"/>
        <v>0</v>
      </c>
      <c r="Q97" s="79">
        <f t="shared" si="41"/>
        <v>0</v>
      </c>
      <c r="R97" s="79">
        <f t="shared" si="41"/>
        <v>0</v>
      </c>
      <c r="S97" s="79">
        <f t="shared" si="41"/>
        <v>0</v>
      </c>
      <c r="T97" s="92"/>
      <c r="U97" s="82"/>
    </row>
    <row r="98" spans="1:21" x14ac:dyDescent="0.25">
      <c r="A98" s="82"/>
      <c r="B98" s="88"/>
      <c r="C98" s="89"/>
      <c r="D98" s="90"/>
      <c r="E98" s="89" t="s">
        <v>69</v>
      </c>
      <c r="F98" s="89"/>
      <c r="G98" s="91">
        <f>G97</f>
        <v>0</v>
      </c>
      <c r="H98" s="91">
        <f t="shared" ref="H98:S98" si="42">H97</f>
        <v>0</v>
      </c>
      <c r="I98" s="91">
        <f t="shared" si="42"/>
        <v>0</v>
      </c>
      <c r="J98" s="91">
        <f t="shared" si="42"/>
        <v>0</v>
      </c>
      <c r="K98" s="91">
        <f t="shared" si="42"/>
        <v>0</v>
      </c>
      <c r="L98" s="91">
        <f t="shared" si="42"/>
        <v>0</v>
      </c>
      <c r="M98" s="91">
        <f t="shared" si="42"/>
        <v>0</v>
      </c>
      <c r="N98" s="91">
        <f t="shared" si="42"/>
        <v>0</v>
      </c>
      <c r="O98" s="91">
        <f t="shared" si="42"/>
        <v>0</v>
      </c>
      <c r="P98" s="91">
        <f t="shared" si="42"/>
        <v>0</v>
      </c>
      <c r="Q98" s="91">
        <f t="shared" si="42"/>
        <v>0</v>
      </c>
      <c r="R98" s="91">
        <f t="shared" si="42"/>
        <v>0</v>
      </c>
      <c r="S98" s="91">
        <f t="shared" si="42"/>
        <v>0</v>
      </c>
      <c r="T98" s="92">
        <f>SUM(G98:S98)/13</f>
        <v>0</v>
      </c>
      <c r="U98" s="82"/>
    </row>
    <row r="99" spans="1:21" x14ac:dyDescent="0.25">
      <c r="A99" s="82"/>
      <c r="B99" s="88"/>
      <c r="C99" s="93"/>
      <c r="D99" s="90"/>
      <c r="E99" s="89"/>
      <c r="F99" s="89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2"/>
      <c r="U99" s="82"/>
    </row>
    <row r="100" spans="1:21" x14ac:dyDescent="0.25">
      <c r="A100" s="82"/>
      <c r="B100" s="88"/>
      <c r="C100" s="89" t="s">
        <v>413</v>
      </c>
      <c r="D100" s="90">
        <f>D94</f>
        <v>2.4706719004354946E-3</v>
      </c>
      <c r="E100" s="89"/>
      <c r="F100" s="89"/>
      <c r="G100" s="79">
        <f>(G$48)*$D100</f>
        <v>-2251.7338288195019</v>
      </c>
      <c r="H100" s="79">
        <f t="shared" ref="H100:S100" si="43">(H$48)*$D100</f>
        <v>-2369.275114482693</v>
      </c>
      <c r="I100" s="79">
        <f t="shared" si="43"/>
        <v>-2486.8164001458836</v>
      </c>
      <c r="J100" s="79">
        <f t="shared" si="43"/>
        <v>-2604.3576858090737</v>
      </c>
      <c r="K100" s="79">
        <f t="shared" si="43"/>
        <v>-2721.8989714722643</v>
      </c>
      <c r="L100" s="79">
        <f t="shared" si="43"/>
        <v>-2839.4402571354553</v>
      </c>
      <c r="M100" s="79">
        <f t="shared" si="43"/>
        <v>-2956.9815427986455</v>
      </c>
      <c r="N100" s="79">
        <f t="shared" si="43"/>
        <v>-3074.522828461837</v>
      </c>
      <c r="O100" s="79">
        <f t="shared" si="43"/>
        <v>-3192.0641141250267</v>
      </c>
      <c r="P100" s="79">
        <f t="shared" si="43"/>
        <v>-3309.6053997882177</v>
      </c>
      <c r="Q100" s="79">
        <f t="shared" si="43"/>
        <v>-3427.1466854514069</v>
      </c>
      <c r="R100" s="79">
        <f t="shared" si="43"/>
        <v>-3544.687971114598</v>
      </c>
      <c r="S100" s="79">
        <f t="shared" si="43"/>
        <v>-3662.2292567777899</v>
      </c>
      <c r="T100" s="92"/>
      <c r="U100" s="82"/>
    </row>
    <row r="101" spans="1:21" x14ac:dyDescent="0.25">
      <c r="A101" s="82"/>
      <c r="B101" s="88"/>
      <c r="C101" s="89"/>
      <c r="D101" s="90"/>
      <c r="E101" s="89" t="s">
        <v>396</v>
      </c>
      <c r="F101" s="89"/>
      <c r="G101" s="91">
        <f>G100</f>
        <v>-2251.7338288195019</v>
      </c>
      <c r="H101" s="91">
        <f t="shared" ref="H101:S101" si="44">H100</f>
        <v>-2369.275114482693</v>
      </c>
      <c r="I101" s="91">
        <f t="shared" si="44"/>
        <v>-2486.8164001458836</v>
      </c>
      <c r="J101" s="91">
        <f t="shared" si="44"/>
        <v>-2604.3576858090737</v>
      </c>
      <c r="K101" s="91">
        <f t="shared" si="44"/>
        <v>-2721.8989714722643</v>
      </c>
      <c r="L101" s="91">
        <f t="shared" si="44"/>
        <v>-2839.4402571354553</v>
      </c>
      <c r="M101" s="91">
        <f t="shared" si="44"/>
        <v>-2956.9815427986455</v>
      </c>
      <c r="N101" s="91">
        <f t="shared" si="44"/>
        <v>-3074.522828461837</v>
      </c>
      <c r="O101" s="91">
        <f t="shared" si="44"/>
        <v>-3192.0641141250267</v>
      </c>
      <c r="P101" s="91">
        <f t="shared" si="44"/>
        <v>-3309.6053997882177</v>
      </c>
      <c r="Q101" s="91">
        <f t="shared" si="44"/>
        <v>-3427.1466854514069</v>
      </c>
      <c r="R101" s="91">
        <f t="shared" si="44"/>
        <v>-3544.687971114598</v>
      </c>
      <c r="S101" s="91">
        <f t="shared" si="44"/>
        <v>-3662.2292567777899</v>
      </c>
      <c r="T101" s="92">
        <f>SUM(G101:S101)/13</f>
        <v>-2956.9815427986464</v>
      </c>
      <c r="U101" s="82"/>
    </row>
    <row r="102" spans="1:21" ht="15.75" thickBot="1" x14ac:dyDescent="0.3">
      <c r="A102" s="82"/>
      <c r="B102" s="94"/>
      <c r="C102" s="95"/>
      <c r="D102" s="96"/>
      <c r="E102" s="95"/>
      <c r="F102" s="95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2"/>
      <c r="U102" s="82"/>
    </row>
    <row r="103" spans="1:21" x14ac:dyDescent="0.25">
      <c r="A103" s="82"/>
      <c r="B103" s="83" t="s">
        <v>420</v>
      </c>
      <c r="C103" s="84" t="s">
        <v>411</v>
      </c>
      <c r="D103" s="85">
        <f>'[1]Common Plant Allocation Factors'!G11</f>
        <v>0.22915694188985516</v>
      </c>
      <c r="E103" s="84"/>
      <c r="F103" s="84"/>
      <c r="G103" s="86">
        <f>(G$26)*$D103</f>
        <v>2793653.412906087</v>
      </c>
      <c r="H103" s="86">
        <f t="shared" ref="H103:S103" si="45">(H$26)*$D103</f>
        <v>2793653.412906087</v>
      </c>
      <c r="I103" s="86">
        <f t="shared" si="45"/>
        <v>2793653.412906087</v>
      </c>
      <c r="J103" s="86">
        <f t="shared" si="45"/>
        <v>2793653.412906087</v>
      </c>
      <c r="K103" s="86">
        <f t="shared" si="45"/>
        <v>2793653.412906087</v>
      </c>
      <c r="L103" s="86">
        <f t="shared" si="45"/>
        <v>2793653.412906087</v>
      </c>
      <c r="M103" s="86">
        <f t="shared" si="45"/>
        <v>2793653.412906087</v>
      </c>
      <c r="N103" s="86">
        <f t="shared" si="45"/>
        <v>2793653.412906087</v>
      </c>
      <c r="O103" s="86">
        <f t="shared" si="45"/>
        <v>2793653.412906087</v>
      </c>
      <c r="P103" s="86">
        <f t="shared" si="45"/>
        <v>2793653.412906087</v>
      </c>
      <c r="Q103" s="86">
        <f t="shared" si="45"/>
        <v>2793653.412906087</v>
      </c>
      <c r="R103" s="86">
        <f t="shared" si="45"/>
        <v>2793653.412906087</v>
      </c>
      <c r="S103" s="86">
        <f t="shared" si="45"/>
        <v>2793653.412906087</v>
      </c>
      <c r="T103" s="87"/>
      <c r="U103" s="82"/>
    </row>
    <row r="104" spans="1:21" x14ac:dyDescent="0.25">
      <c r="A104" s="82"/>
      <c r="B104" s="88"/>
      <c r="C104" s="89"/>
      <c r="D104" s="90"/>
      <c r="E104" s="89" t="s">
        <v>381</v>
      </c>
      <c r="F104" s="89"/>
      <c r="G104" s="91">
        <f>G103</f>
        <v>2793653.412906087</v>
      </c>
      <c r="H104" s="91">
        <f t="shared" ref="H104:S104" si="46">H103</f>
        <v>2793653.412906087</v>
      </c>
      <c r="I104" s="91">
        <f t="shared" si="46"/>
        <v>2793653.412906087</v>
      </c>
      <c r="J104" s="91">
        <f t="shared" si="46"/>
        <v>2793653.412906087</v>
      </c>
      <c r="K104" s="91">
        <f t="shared" si="46"/>
        <v>2793653.412906087</v>
      </c>
      <c r="L104" s="91">
        <f t="shared" si="46"/>
        <v>2793653.412906087</v>
      </c>
      <c r="M104" s="91">
        <f t="shared" si="46"/>
        <v>2793653.412906087</v>
      </c>
      <c r="N104" s="91">
        <f t="shared" si="46"/>
        <v>2793653.412906087</v>
      </c>
      <c r="O104" s="91">
        <f t="shared" si="46"/>
        <v>2793653.412906087</v>
      </c>
      <c r="P104" s="91">
        <f t="shared" si="46"/>
        <v>2793653.412906087</v>
      </c>
      <c r="Q104" s="91">
        <f t="shared" si="46"/>
        <v>2793653.412906087</v>
      </c>
      <c r="R104" s="91">
        <f t="shared" si="46"/>
        <v>2793653.412906087</v>
      </c>
      <c r="S104" s="91">
        <f t="shared" si="46"/>
        <v>2793653.412906087</v>
      </c>
      <c r="T104" s="92">
        <f>SUM(G104:S104)/13</f>
        <v>2793653.4129060875</v>
      </c>
      <c r="U104" s="82"/>
    </row>
    <row r="105" spans="1:21" x14ac:dyDescent="0.25">
      <c r="A105" s="82"/>
      <c r="B105" s="88"/>
      <c r="C105" s="89"/>
      <c r="D105" s="90"/>
      <c r="E105" s="89"/>
      <c r="F105" s="89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2"/>
      <c r="U105" s="82"/>
    </row>
    <row r="106" spans="1:21" x14ac:dyDescent="0.25">
      <c r="A106" s="82"/>
      <c r="B106" s="88"/>
      <c r="C106" s="89" t="s">
        <v>412</v>
      </c>
      <c r="D106" s="90">
        <f>D103</f>
        <v>0.22915694188985516</v>
      </c>
      <c r="E106" s="89"/>
      <c r="F106" s="89"/>
      <c r="G106" s="79">
        <f>G$8*$D106</f>
        <v>0</v>
      </c>
      <c r="H106" s="79">
        <f t="shared" ref="H106:S106" si="47">H$8*$D106</f>
        <v>0</v>
      </c>
      <c r="I106" s="79">
        <f t="shared" si="47"/>
        <v>0</v>
      </c>
      <c r="J106" s="79">
        <f t="shared" si="47"/>
        <v>0</v>
      </c>
      <c r="K106" s="79">
        <f t="shared" si="47"/>
        <v>0</v>
      </c>
      <c r="L106" s="79">
        <f t="shared" si="47"/>
        <v>0</v>
      </c>
      <c r="M106" s="79">
        <f t="shared" si="47"/>
        <v>0</v>
      </c>
      <c r="N106" s="79">
        <f t="shared" si="47"/>
        <v>0</v>
      </c>
      <c r="O106" s="79">
        <f t="shared" si="47"/>
        <v>0</v>
      </c>
      <c r="P106" s="79">
        <f t="shared" si="47"/>
        <v>0</v>
      </c>
      <c r="Q106" s="79">
        <f t="shared" si="47"/>
        <v>0</v>
      </c>
      <c r="R106" s="79">
        <f t="shared" si="47"/>
        <v>0</v>
      </c>
      <c r="S106" s="79">
        <f t="shared" si="47"/>
        <v>0</v>
      </c>
      <c r="T106" s="92"/>
      <c r="U106" s="82"/>
    </row>
    <row r="107" spans="1:21" x14ac:dyDescent="0.25">
      <c r="A107" s="82"/>
      <c r="B107" s="88"/>
      <c r="C107" s="89"/>
      <c r="D107" s="90"/>
      <c r="E107" s="89" t="s">
        <v>69</v>
      </c>
      <c r="F107" s="89"/>
      <c r="G107" s="91">
        <f>G106</f>
        <v>0</v>
      </c>
      <c r="H107" s="91">
        <f t="shared" ref="H107:S107" si="48">H106</f>
        <v>0</v>
      </c>
      <c r="I107" s="91">
        <f t="shared" si="48"/>
        <v>0</v>
      </c>
      <c r="J107" s="91">
        <f t="shared" si="48"/>
        <v>0</v>
      </c>
      <c r="K107" s="91">
        <f t="shared" si="48"/>
        <v>0</v>
      </c>
      <c r="L107" s="91">
        <f t="shared" si="48"/>
        <v>0</v>
      </c>
      <c r="M107" s="91">
        <f t="shared" si="48"/>
        <v>0</v>
      </c>
      <c r="N107" s="91">
        <f t="shared" si="48"/>
        <v>0</v>
      </c>
      <c r="O107" s="91">
        <f t="shared" si="48"/>
        <v>0</v>
      </c>
      <c r="P107" s="91">
        <f t="shared" si="48"/>
        <v>0</v>
      </c>
      <c r="Q107" s="91">
        <f t="shared" si="48"/>
        <v>0</v>
      </c>
      <c r="R107" s="91">
        <f t="shared" si="48"/>
        <v>0</v>
      </c>
      <c r="S107" s="91">
        <f t="shared" si="48"/>
        <v>0</v>
      </c>
      <c r="T107" s="92">
        <f>SUM(G107:S107)/13</f>
        <v>0</v>
      </c>
      <c r="U107" s="82"/>
    </row>
    <row r="108" spans="1:21" x14ac:dyDescent="0.25">
      <c r="A108" s="82"/>
      <c r="B108" s="88"/>
      <c r="C108" s="93"/>
      <c r="D108" s="90"/>
      <c r="E108" s="89"/>
      <c r="F108" s="89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2"/>
      <c r="U108" s="82"/>
    </row>
    <row r="109" spans="1:21" x14ac:dyDescent="0.25">
      <c r="A109" s="82"/>
      <c r="B109" s="88"/>
      <c r="C109" s="89" t="s">
        <v>413</v>
      </c>
      <c r="D109" s="90">
        <f>D103</f>
        <v>0.22915694188985516</v>
      </c>
      <c r="E109" s="89"/>
      <c r="F109" s="89"/>
      <c r="G109" s="79">
        <f>(G$48)*$D109</f>
        <v>-208850.24760724342</v>
      </c>
      <c r="H109" s="79">
        <f t="shared" ref="H109:S109" si="49">(H$48)*$D109</f>
        <v>-219752.30285935153</v>
      </c>
      <c r="I109" s="79">
        <f t="shared" si="49"/>
        <v>-230654.35811145959</v>
      </c>
      <c r="J109" s="79">
        <f t="shared" si="49"/>
        <v>-241556.41336356767</v>
      </c>
      <c r="K109" s="79">
        <f t="shared" si="49"/>
        <v>-252458.46861567572</v>
      </c>
      <c r="L109" s="79">
        <f t="shared" si="49"/>
        <v>-263360.52386778384</v>
      </c>
      <c r="M109" s="79">
        <f t="shared" si="49"/>
        <v>-274262.57911989186</v>
      </c>
      <c r="N109" s="79">
        <f t="shared" si="49"/>
        <v>-285164.63437200006</v>
      </c>
      <c r="O109" s="79">
        <f t="shared" si="49"/>
        <v>-296066.68962410802</v>
      </c>
      <c r="P109" s="79">
        <f t="shared" si="49"/>
        <v>-306968.74487621617</v>
      </c>
      <c r="Q109" s="79">
        <f t="shared" si="49"/>
        <v>-317870.80012832413</v>
      </c>
      <c r="R109" s="79">
        <f t="shared" si="49"/>
        <v>-328772.85538043221</v>
      </c>
      <c r="S109" s="79">
        <f t="shared" si="49"/>
        <v>-339674.91063254041</v>
      </c>
      <c r="T109" s="92"/>
      <c r="U109" s="82"/>
    </row>
    <row r="110" spans="1:21" x14ac:dyDescent="0.25">
      <c r="A110" s="82"/>
      <c r="B110" s="88"/>
      <c r="C110" s="89"/>
      <c r="D110" s="99"/>
      <c r="E110" s="89" t="s">
        <v>396</v>
      </c>
      <c r="F110" s="89"/>
      <c r="G110" s="91">
        <f>G109</f>
        <v>-208850.24760724342</v>
      </c>
      <c r="H110" s="91">
        <f t="shared" ref="H110:S110" si="50">H109</f>
        <v>-219752.30285935153</v>
      </c>
      <c r="I110" s="91">
        <f t="shared" si="50"/>
        <v>-230654.35811145959</v>
      </c>
      <c r="J110" s="91">
        <f t="shared" si="50"/>
        <v>-241556.41336356767</v>
      </c>
      <c r="K110" s="91">
        <f t="shared" si="50"/>
        <v>-252458.46861567572</v>
      </c>
      <c r="L110" s="91">
        <f t="shared" si="50"/>
        <v>-263360.52386778384</v>
      </c>
      <c r="M110" s="91">
        <f t="shared" si="50"/>
        <v>-274262.57911989186</v>
      </c>
      <c r="N110" s="91">
        <f t="shared" si="50"/>
        <v>-285164.63437200006</v>
      </c>
      <c r="O110" s="91">
        <f t="shared" si="50"/>
        <v>-296066.68962410802</v>
      </c>
      <c r="P110" s="91">
        <f t="shared" si="50"/>
        <v>-306968.74487621617</v>
      </c>
      <c r="Q110" s="91">
        <f t="shared" si="50"/>
        <v>-317870.80012832413</v>
      </c>
      <c r="R110" s="91">
        <f t="shared" si="50"/>
        <v>-328772.85538043221</v>
      </c>
      <c r="S110" s="91">
        <f t="shared" si="50"/>
        <v>-339674.91063254041</v>
      </c>
      <c r="T110" s="92">
        <f>SUM(G110:S110)/13</f>
        <v>-274262.57911989192</v>
      </c>
      <c r="U110" s="82"/>
    </row>
    <row r="111" spans="1:21" x14ac:dyDescent="0.25">
      <c r="A111" s="82"/>
      <c r="B111" s="88"/>
      <c r="C111" s="89"/>
      <c r="D111" s="100"/>
      <c r="E111" s="89"/>
      <c r="F111" s="89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2"/>
      <c r="U111" s="82"/>
    </row>
    <row r="112" spans="1:21" ht="15.75" thickBot="1" x14ac:dyDescent="0.3">
      <c r="A112" s="82"/>
      <c r="B112" s="94"/>
      <c r="C112" s="95"/>
      <c r="D112" s="101"/>
      <c r="E112" s="95"/>
      <c r="F112" s="95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102"/>
      <c r="U112" s="82"/>
    </row>
    <row r="113" spans="1:21" x14ac:dyDescent="0.25">
      <c r="A113" s="82"/>
      <c r="B113" s="82"/>
      <c r="C113" s="103"/>
      <c r="D113" s="103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</row>
    <row r="115" spans="1:21" x14ac:dyDescent="0.25">
      <c r="D115" s="131">
        <f>+D103+D94+D85+D76+D67+D58</f>
        <v>1</v>
      </c>
      <c r="E115" t="s">
        <v>463</v>
      </c>
      <c r="T115" s="105">
        <f>+T59+T68+T77+T86+T95+T104</f>
        <v>12191004.950000001</v>
      </c>
    </row>
    <row r="116" spans="1:21" x14ac:dyDescent="0.25">
      <c r="E116" t="s">
        <v>464</v>
      </c>
      <c r="T116" s="105">
        <f>+T62+T71+T80+T89+T98+T107</f>
        <v>0</v>
      </c>
    </row>
    <row r="117" spans="1:21" x14ac:dyDescent="0.25">
      <c r="E117" t="s">
        <v>465</v>
      </c>
      <c r="T117" s="105">
        <f>+T65+T74+T83+T92+T101+T110</f>
        <v>-1196832.9515049858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7"/>
  <sheetViews>
    <sheetView topLeftCell="N36" workbookViewId="0">
      <selection activeCell="H47" activeCellId="3" sqref="H41 H45 H46 H47"/>
    </sheetView>
  </sheetViews>
  <sheetFormatPr defaultRowHeight="15" x14ac:dyDescent="0.25"/>
  <cols>
    <col min="1" max="1" width="3" customWidth="1"/>
    <col min="2" max="2" width="16.42578125" customWidth="1"/>
    <col min="3" max="3" width="47.42578125" bestFit="1" customWidth="1"/>
    <col min="4" max="4" width="15.85546875" style="13" customWidth="1"/>
    <col min="5" max="5" width="17.85546875" customWidth="1"/>
    <col min="6" max="6" width="4.42578125" customWidth="1"/>
    <col min="7" max="7" width="13" customWidth="1"/>
    <col min="8" max="8" width="12.140625" customWidth="1"/>
    <col min="9" max="9" width="12.7109375" customWidth="1"/>
    <col min="10" max="10" width="13.42578125" customWidth="1"/>
    <col min="11" max="11" width="11.28515625" customWidth="1"/>
    <col min="12" max="12" width="12.28515625" customWidth="1"/>
    <col min="13" max="13" width="13.7109375" customWidth="1"/>
    <col min="14" max="14" width="13.5703125" customWidth="1"/>
    <col min="15" max="15" width="11.42578125" customWidth="1"/>
    <col min="16" max="16" width="13.5703125" customWidth="1"/>
    <col min="17" max="17" width="12.7109375" customWidth="1"/>
    <col min="18" max="18" width="12.85546875" customWidth="1"/>
    <col min="19" max="19" width="14.140625" customWidth="1"/>
    <col min="20" max="20" width="11.85546875" customWidth="1"/>
    <col min="21" max="21" width="3.28515625" customWidth="1"/>
    <col min="24" max="24" width="17" bestFit="1" customWidth="1"/>
  </cols>
  <sheetData>
    <row r="1" spans="1:26" x14ac:dyDescent="0.25">
      <c r="A1" t="s">
        <v>373</v>
      </c>
    </row>
    <row r="2" spans="1:26" x14ac:dyDescent="0.25">
      <c r="A2" t="s">
        <v>374</v>
      </c>
    </row>
    <row r="5" spans="1:26" x14ac:dyDescent="0.25">
      <c r="B5" t="s">
        <v>375</v>
      </c>
      <c r="C5" t="s">
        <v>376</v>
      </c>
      <c r="D5" s="13" t="s">
        <v>377</v>
      </c>
      <c r="E5" t="s">
        <v>378</v>
      </c>
      <c r="G5" s="65">
        <v>44909</v>
      </c>
      <c r="H5" s="65">
        <v>44939</v>
      </c>
      <c r="I5" s="65">
        <v>44969</v>
      </c>
      <c r="J5" s="65">
        <v>44999</v>
      </c>
      <c r="K5" s="65">
        <v>45029</v>
      </c>
      <c r="L5" s="65">
        <v>45059</v>
      </c>
      <c r="M5" s="65">
        <v>45089</v>
      </c>
      <c r="N5" s="65">
        <v>45119</v>
      </c>
      <c r="O5" s="65">
        <v>45149</v>
      </c>
      <c r="P5" s="65">
        <v>45179</v>
      </c>
      <c r="Q5" s="65">
        <v>45209</v>
      </c>
      <c r="R5" s="65">
        <v>45239</v>
      </c>
      <c r="S5" s="65">
        <v>45269</v>
      </c>
      <c r="T5" s="66" t="s">
        <v>379</v>
      </c>
    </row>
    <row r="6" spans="1:26" x14ac:dyDescent="0.25">
      <c r="C6" s="67" t="s">
        <v>380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</row>
    <row r="7" spans="1:26" x14ac:dyDescent="0.25"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6"/>
    </row>
    <row r="8" spans="1:26" x14ac:dyDescent="0.25">
      <c r="B8" t="s">
        <v>381</v>
      </c>
      <c r="C8" t="s">
        <v>382</v>
      </c>
      <c r="D8" s="13" t="s">
        <v>71</v>
      </c>
      <c r="E8" t="s">
        <v>383</v>
      </c>
      <c r="G8" s="68">
        <f>'[1]FC with allocations'!C35</f>
        <v>0</v>
      </c>
      <c r="H8" s="68">
        <f>'[1]FC with allocations'!D35</f>
        <v>0</v>
      </c>
      <c r="I8" s="68">
        <f>'[1]FC with allocations'!E35</f>
        <v>0</v>
      </c>
      <c r="J8" s="68">
        <f>'[1]FC with allocations'!F35</f>
        <v>0</v>
      </c>
      <c r="K8" s="68">
        <f>'[1]FC with allocations'!G35</f>
        <v>3418</v>
      </c>
      <c r="L8" s="68">
        <f>'[1]FC with allocations'!H35</f>
        <v>3418</v>
      </c>
      <c r="M8" s="68">
        <f>'[1]FC with allocations'!I35</f>
        <v>0</v>
      </c>
      <c r="N8" s="68">
        <f>'[1]FC with allocations'!J35</f>
        <v>0</v>
      </c>
      <c r="O8" s="68">
        <f>'[1]FC with allocations'!K35</f>
        <v>0</v>
      </c>
      <c r="P8" s="68">
        <f>'[1]FC with allocations'!L35</f>
        <v>1364</v>
      </c>
      <c r="Q8" s="68">
        <f>'[1]FC with allocations'!M35</f>
        <v>0</v>
      </c>
      <c r="R8" s="68">
        <f>'[1]FC with allocations'!N35</f>
        <v>0</v>
      </c>
      <c r="S8" s="68">
        <f>'[1]FC with allocations'!O35</f>
        <v>0</v>
      </c>
      <c r="T8" s="68">
        <f>SUM(G8:S8)/13</f>
        <v>630.76923076923072</v>
      </c>
      <c r="U8" s="68"/>
      <c r="V8" s="68"/>
      <c r="W8" s="68"/>
      <c r="X8" s="68"/>
      <c r="Y8" s="68"/>
      <c r="Z8" s="68"/>
    </row>
    <row r="9" spans="1:26" x14ac:dyDescent="0.25">
      <c r="C9" s="69"/>
      <c r="D9" s="70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x14ac:dyDescent="0.25">
      <c r="G10" s="71">
        <f t="shared" ref="G10:T10" si="0">SUM(G8:G9)</f>
        <v>0</v>
      </c>
      <c r="H10" s="71">
        <f t="shared" si="0"/>
        <v>0</v>
      </c>
      <c r="I10" s="71">
        <f t="shared" si="0"/>
        <v>0</v>
      </c>
      <c r="J10" s="71">
        <f t="shared" si="0"/>
        <v>0</v>
      </c>
      <c r="K10" s="71">
        <f t="shared" si="0"/>
        <v>3418</v>
      </c>
      <c r="L10" s="71">
        <f t="shared" si="0"/>
        <v>3418</v>
      </c>
      <c r="M10" s="71">
        <f t="shared" si="0"/>
        <v>0</v>
      </c>
      <c r="N10" s="71">
        <f t="shared" si="0"/>
        <v>0</v>
      </c>
      <c r="O10" s="71">
        <f t="shared" si="0"/>
        <v>0</v>
      </c>
      <c r="P10" s="71">
        <f t="shared" si="0"/>
        <v>1364</v>
      </c>
      <c r="Q10" s="72">
        <f t="shared" si="0"/>
        <v>0</v>
      </c>
      <c r="R10" s="72">
        <f t="shared" si="0"/>
        <v>0</v>
      </c>
      <c r="S10" s="72">
        <f t="shared" si="0"/>
        <v>0</v>
      </c>
      <c r="T10" s="72">
        <f t="shared" si="0"/>
        <v>630.76923076923072</v>
      </c>
      <c r="U10" s="68"/>
      <c r="V10" s="68"/>
      <c r="W10" s="68"/>
      <c r="X10" s="68"/>
      <c r="Y10" s="68"/>
      <c r="Z10" s="68"/>
    </row>
    <row r="11" spans="1:26" x14ac:dyDescent="0.25"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73"/>
      <c r="R11" s="73"/>
      <c r="S11" s="73"/>
      <c r="T11" s="73"/>
      <c r="U11" s="68"/>
      <c r="V11" s="68"/>
      <c r="W11" s="68"/>
      <c r="X11" s="68"/>
      <c r="Y11" s="68"/>
      <c r="Z11" s="68"/>
    </row>
    <row r="12" spans="1:26" x14ac:dyDescent="0.25"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73"/>
      <c r="R12" s="73"/>
      <c r="S12" s="73"/>
      <c r="T12" s="73"/>
      <c r="U12" s="68"/>
      <c r="V12" s="68"/>
      <c r="W12" s="68"/>
      <c r="X12" s="68"/>
      <c r="Y12" s="68"/>
      <c r="Z12" s="68"/>
    </row>
    <row r="13" spans="1:26" x14ac:dyDescent="0.25">
      <c r="C13" s="67" t="s">
        <v>384</v>
      </c>
      <c r="D13" s="13">
        <v>10101010</v>
      </c>
      <c r="E13" t="s">
        <v>385</v>
      </c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73">
        <f t="shared" ref="T13:T25" si="1">SUM(G13:S13)/13</f>
        <v>0</v>
      </c>
      <c r="U13" s="68"/>
      <c r="V13" s="68"/>
      <c r="W13" s="68"/>
      <c r="X13" s="68"/>
      <c r="Y13" s="68"/>
      <c r="Z13" s="68"/>
    </row>
    <row r="14" spans="1:26" x14ac:dyDescent="0.25">
      <c r="C14" t="s">
        <v>386</v>
      </c>
      <c r="D14" s="13" t="s">
        <v>44</v>
      </c>
      <c r="E14" t="s">
        <v>385</v>
      </c>
      <c r="G14" s="68">
        <f>'FC Common pl 22'!S14</f>
        <v>596857.97</v>
      </c>
      <c r="H14" s="68">
        <f>G14</f>
        <v>596857.97</v>
      </c>
      <c r="I14" s="68">
        <f t="shared" ref="I14:S14" si="2">H14</f>
        <v>596857.97</v>
      </c>
      <c r="J14" s="68">
        <f t="shared" si="2"/>
        <v>596857.97</v>
      </c>
      <c r="K14" s="68">
        <f t="shared" si="2"/>
        <v>596857.97</v>
      </c>
      <c r="L14" s="68">
        <f t="shared" si="2"/>
        <v>596857.97</v>
      </c>
      <c r="M14" s="68">
        <f t="shared" si="2"/>
        <v>596857.97</v>
      </c>
      <c r="N14" s="68">
        <f t="shared" si="2"/>
        <v>596857.97</v>
      </c>
      <c r="O14" s="68">
        <f t="shared" si="2"/>
        <v>596857.97</v>
      </c>
      <c r="P14" s="68">
        <f t="shared" si="2"/>
        <v>596857.97</v>
      </c>
      <c r="Q14" s="68">
        <f t="shared" si="2"/>
        <v>596857.97</v>
      </c>
      <c r="R14" s="68">
        <f t="shared" si="2"/>
        <v>596857.97</v>
      </c>
      <c r="S14" s="68">
        <f t="shared" si="2"/>
        <v>596857.97</v>
      </c>
      <c r="T14" s="73">
        <f t="shared" si="1"/>
        <v>596857.96999999986</v>
      </c>
      <c r="U14" s="68"/>
      <c r="V14" s="68"/>
      <c r="W14" s="68"/>
      <c r="X14" s="68"/>
      <c r="Y14" s="68"/>
      <c r="Z14" s="68"/>
    </row>
    <row r="15" spans="1:26" x14ac:dyDescent="0.25">
      <c r="C15" t="s">
        <v>387</v>
      </c>
      <c r="D15" s="13" t="s">
        <v>46</v>
      </c>
      <c r="E15" t="s">
        <v>385</v>
      </c>
      <c r="G15" s="68">
        <f>'FC Common pl 22'!S15</f>
        <v>7746101.1600000001</v>
      </c>
      <c r="H15" s="68">
        <f t="shared" ref="H15:S23" si="3">G15</f>
        <v>7746101.1600000001</v>
      </c>
      <c r="I15" s="68">
        <f t="shared" si="3"/>
        <v>7746101.1600000001</v>
      </c>
      <c r="J15" s="68">
        <f t="shared" si="3"/>
        <v>7746101.1600000001</v>
      </c>
      <c r="K15" s="68">
        <f t="shared" si="3"/>
        <v>7746101.1600000001</v>
      </c>
      <c r="L15" s="68">
        <f t="shared" si="3"/>
        <v>7746101.1600000001</v>
      </c>
      <c r="M15" s="68">
        <f t="shared" si="3"/>
        <v>7746101.1600000001</v>
      </c>
      <c r="N15" s="68">
        <f t="shared" si="3"/>
        <v>7746101.1600000001</v>
      </c>
      <c r="O15" s="68">
        <f t="shared" si="3"/>
        <v>7746101.1600000001</v>
      </c>
      <c r="P15" s="68">
        <f t="shared" si="3"/>
        <v>7746101.1600000001</v>
      </c>
      <c r="Q15" s="68">
        <f t="shared" si="3"/>
        <v>7746101.1600000001</v>
      </c>
      <c r="R15" s="68">
        <f t="shared" si="3"/>
        <v>7746101.1600000001</v>
      </c>
      <c r="S15" s="68">
        <f t="shared" si="3"/>
        <v>7746101.1600000001</v>
      </c>
      <c r="T15" s="73">
        <f t="shared" si="1"/>
        <v>7746101.1599999974</v>
      </c>
      <c r="U15" s="68"/>
      <c r="V15" s="68"/>
      <c r="W15" s="68"/>
      <c r="X15" s="68"/>
      <c r="Y15" s="68"/>
      <c r="Z15" s="68"/>
    </row>
    <row r="16" spans="1:26" x14ac:dyDescent="0.25">
      <c r="C16" t="s">
        <v>388</v>
      </c>
      <c r="D16" s="13" t="s">
        <v>48</v>
      </c>
      <c r="E16" t="s">
        <v>385</v>
      </c>
      <c r="G16" s="68">
        <f>'FC Common pl 22'!S16</f>
        <v>742002.67</v>
      </c>
      <c r="H16" s="68">
        <f t="shared" si="3"/>
        <v>742002.67</v>
      </c>
      <c r="I16" s="68">
        <f t="shared" si="3"/>
        <v>742002.67</v>
      </c>
      <c r="J16" s="68">
        <f t="shared" si="3"/>
        <v>742002.67</v>
      </c>
      <c r="K16" s="68">
        <f t="shared" si="3"/>
        <v>742002.67</v>
      </c>
      <c r="L16" s="68">
        <f t="shared" si="3"/>
        <v>742002.67</v>
      </c>
      <c r="M16" s="68">
        <f t="shared" si="3"/>
        <v>742002.67</v>
      </c>
      <c r="N16" s="68">
        <f t="shared" si="3"/>
        <v>742002.67</v>
      </c>
      <c r="O16" s="68">
        <f t="shared" si="3"/>
        <v>742002.67</v>
      </c>
      <c r="P16" s="68">
        <f t="shared" si="3"/>
        <v>742002.67</v>
      </c>
      <c r="Q16" s="68">
        <f t="shared" si="3"/>
        <v>742002.67</v>
      </c>
      <c r="R16" s="68">
        <f t="shared" si="3"/>
        <v>742002.67</v>
      </c>
      <c r="S16" s="68">
        <f t="shared" si="3"/>
        <v>742002.67</v>
      </c>
      <c r="T16" s="73">
        <f t="shared" si="1"/>
        <v>742002.67</v>
      </c>
      <c r="U16" s="68"/>
      <c r="V16" s="68"/>
      <c r="W16" s="68"/>
      <c r="X16" s="68"/>
      <c r="Y16" s="68"/>
      <c r="Z16" s="68"/>
    </row>
    <row r="17" spans="2:26" x14ac:dyDescent="0.25">
      <c r="C17" t="s">
        <v>382</v>
      </c>
      <c r="D17" s="13">
        <v>10103912</v>
      </c>
      <c r="E17" t="s">
        <v>385</v>
      </c>
      <c r="G17" s="68">
        <f>'FC Common pl 22'!S17</f>
        <v>41832.54</v>
      </c>
      <c r="H17" s="68">
        <f t="shared" si="3"/>
        <v>41832.54</v>
      </c>
      <c r="I17" s="68">
        <f t="shared" si="3"/>
        <v>41832.54</v>
      </c>
      <c r="J17" s="68">
        <f t="shared" si="3"/>
        <v>41832.54</v>
      </c>
      <c r="K17" s="68">
        <f t="shared" si="3"/>
        <v>41832.54</v>
      </c>
      <c r="L17" s="68">
        <f t="shared" si="3"/>
        <v>41832.54</v>
      </c>
      <c r="M17" s="68">
        <f t="shared" si="3"/>
        <v>41832.54</v>
      </c>
      <c r="N17" s="68">
        <f t="shared" si="3"/>
        <v>41832.54</v>
      </c>
      <c r="O17" s="68">
        <f t="shared" si="3"/>
        <v>41832.54</v>
      </c>
      <c r="P17" s="68">
        <f t="shared" si="3"/>
        <v>41832.54</v>
      </c>
      <c r="Q17" s="68">
        <f t="shared" si="3"/>
        <v>41832.54</v>
      </c>
      <c r="R17" s="68">
        <f t="shared" si="3"/>
        <v>41832.54</v>
      </c>
      <c r="S17" s="68">
        <f t="shared" si="3"/>
        <v>41832.54</v>
      </c>
      <c r="T17" s="73">
        <f t="shared" si="1"/>
        <v>41832.539999999994</v>
      </c>
      <c r="U17" s="68"/>
      <c r="V17" s="68"/>
      <c r="W17" s="68"/>
      <c r="X17" s="68"/>
      <c r="Y17" s="68"/>
      <c r="Z17" s="68"/>
    </row>
    <row r="18" spans="2:26" x14ac:dyDescent="0.25">
      <c r="C18" t="s">
        <v>389</v>
      </c>
      <c r="D18" s="13" t="s">
        <v>52</v>
      </c>
      <c r="E18" t="s">
        <v>385</v>
      </c>
      <c r="G18" s="68">
        <f>'FC Common pl 22'!S18</f>
        <v>432439.96</v>
      </c>
      <c r="H18" s="68">
        <f t="shared" si="3"/>
        <v>432439.96</v>
      </c>
      <c r="I18" s="68">
        <f t="shared" si="3"/>
        <v>432439.96</v>
      </c>
      <c r="J18" s="68">
        <f t="shared" si="3"/>
        <v>432439.96</v>
      </c>
      <c r="K18" s="68">
        <f t="shared" si="3"/>
        <v>432439.96</v>
      </c>
      <c r="L18" s="68">
        <f t="shared" si="3"/>
        <v>432439.96</v>
      </c>
      <c r="M18" s="68">
        <f t="shared" si="3"/>
        <v>432439.96</v>
      </c>
      <c r="N18" s="68">
        <f t="shared" si="3"/>
        <v>432439.96</v>
      </c>
      <c r="O18" s="68">
        <f t="shared" si="3"/>
        <v>432439.96</v>
      </c>
      <c r="P18" s="68">
        <f t="shared" si="3"/>
        <v>432439.96</v>
      </c>
      <c r="Q18" s="68">
        <f t="shared" si="3"/>
        <v>432439.96</v>
      </c>
      <c r="R18" s="68">
        <f t="shared" si="3"/>
        <v>432439.96</v>
      </c>
      <c r="S18" s="68">
        <f t="shared" si="3"/>
        <v>432439.96</v>
      </c>
      <c r="T18" s="73">
        <f t="shared" si="1"/>
        <v>432439.96</v>
      </c>
      <c r="U18" s="68"/>
      <c r="V18" s="68"/>
      <c r="W18" s="68"/>
      <c r="X18" s="68"/>
      <c r="Y18" s="68"/>
      <c r="Z18" s="68"/>
    </row>
    <row r="19" spans="2:26" x14ac:dyDescent="0.25">
      <c r="C19" t="s">
        <v>390</v>
      </c>
      <c r="D19" s="13" t="s">
        <v>54</v>
      </c>
      <c r="E19" t="s">
        <v>385</v>
      </c>
      <c r="G19" s="68">
        <f>'FC Common pl 22'!S19</f>
        <v>936225.38</v>
      </c>
      <c r="H19" s="68">
        <f t="shared" si="3"/>
        <v>936225.38</v>
      </c>
      <c r="I19" s="68">
        <f t="shared" si="3"/>
        <v>936225.38</v>
      </c>
      <c r="J19" s="68">
        <f t="shared" si="3"/>
        <v>936225.38</v>
      </c>
      <c r="K19" s="68">
        <f t="shared" si="3"/>
        <v>936225.38</v>
      </c>
      <c r="L19" s="68">
        <f t="shared" si="3"/>
        <v>936225.38</v>
      </c>
      <c r="M19" s="68">
        <f t="shared" si="3"/>
        <v>936225.38</v>
      </c>
      <c r="N19" s="68">
        <f t="shared" si="3"/>
        <v>936225.38</v>
      </c>
      <c r="O19" s="68">
        <f t="shared" si="3"/>
        <v>936225.38</v>
      </c>
      <c r="P19" s="68">
        <f t="shared" si="3"/>
        <v>936225.38</v>
      </c>
      <c r="Q19" s="68">
        <f t="shared" si="3"/>
        <v>936225.38</v>
      </c>
      <c r="R19" s="68">
        <f t="shared" si="3"/>
        <v>936225.38</v>
      </c>
      <c r="S19" s="68">
        <f t="shared" si="3"/>
        <v>936225.38</v>
      </c>
      <c r="T19" s="73">
        <f t="shared" si="1"/>
        <v>936225.38000000024</v>
      </c>
      <c r="U19" s="68"/>
      <c r="V19" s="68"/>
      <c r="W19" s="68"/>
      <c r="X19" s="68"/>
      <c r="Y19" s="68"/>
      <c r="Z19" s="68"/>
    </row>
    <row r="20" spans="2:26" x14ac:dyDescent="0.25">
      <c r="C20" t="s">
        <v>391</v>
      </c>
      <c r="D20" s="13" t="s">
        <v>56</v>
      </c>
      <c r="E20" t="s">
        <v>385</v>
      </c>
      <c r="G20" s="68">
        <f>'FC Common pl 22'!S20</f>
        <v>258116.52000000002</v>
      </c>
      <c r="H20" s="68">
        <f t="shared" si="3"/>
        <v>258116.52000000002</v>
      </c>
      <c r="I20" s="68">
        <f t="shared" si="3"/>
        <v>258116.52000000002</v>
      </c>
      <c r="J20" s="68">
        <f t="shared" si="3"/>
        <v>258116.52000000002</v>
      </c>
      <c r="K20" s="68">
        <f t="shared" si="3"/>
        <v>258116.52000000002</v>
      </c>
      <c r="L20" s="68">
        <f t="shared" si="3"/>
        <v>258116.52000000002</v>
      </c>
      <c r="M20" s="68">
        <f t="shared" si="3"/>
        <v>258116.52000000002</v>
      </c>
      <c r="N20" s="68">
        <f t="shared" si="3"/>
        <v>258116.52000000002</v>
      </c>
      <c r="O20" s="68">
        <f t="shared" si="3"/>
        <v>258116.52000000002</v>
      </c>
      <c r="P20" s="68">
        <f t="shared" si="3"/>
        <v>258116.52000000002</v>
      </c>
      <c r="Q20" s="68">
        <f t="shared" si="3"/>
        <v>258116.52000000002</v>
      </c>
      <c r="R20" s="68">
        <f t="shared" si="3"/>
        <v>258116.52000000002</v>
      </c>
      <c r="S20" s="68">
        <f t="shared" si="3"/>
        <v>258116.52000000002</v>
      </c>
      <c r="T20" s="73">
        <f t="shared" si="1"/>
        <v>258116.52000000002</v>
      </c>
      <c r="U20" s="68"/>
      <c r="V20" s="68"/>
      <c r="W20" s="68"/>
      <c r="X20" s="68"/>
      <c r="Y20" s="68"/>
      <c r="Z20" s="68"/>
    </row>
    <row r="21" spans="2:26" x14ac:dyDescent="0.25">
      <c r="C21" t="s">
        <v>392</v>
      </c>
      <c r="D21" s="13" t="s">
        <v>58</v>
      </c>
      <c r="E21" t="s">
        <v>385</v>
      </c>
      <c r="G21" s="68">
        <f>'FC Common pl 22'!S21</f>
        <v>763765.58</v>
      </c>
      <c r="H21" s="68">
        <f t="shared" si="3"/>
        <v>763765.58</v>
      </c>
      <c r="I21" s="68">
        <f t="shared" si="3"/>
        <v>763765.58</v>
      </c>
      <c r="J21" s="68">
        <f t="shared" si="3"/>
        <v>763765.58</v>
      </c>
      <c r="K21" s="68">
        <f t="shared" si="3"/>
        <v>763765.58</v>
      </c>
      <c r="L21" s="68">
        <f t="shared" si="3"/>
        <v>763765.58</v>
      </c>
      <c r="M21" s="68">
        <f t="shared" si="3"/>
        <v>763765.58</v>
      </c>
      <c r="N21" s="68">
        <f t="shared" si="3"/>
        <v>763765.58</v>
      </c>
      <c r="O21" s="68">
        <f t="shared" si="3"/>
        <v>763765.58</v>
      </c>
      <c r="P21" s="68">
        <f t="shared" si="3"/>
        <v>763765.58</v>
      </c>
      <c r="Q21" s="68">
        <f t="shared" si="3"/>
        <v>763765.58</v>
      </c>
      <c r="R21" s="68">
        <f t="shared" si="3"/>
        <v>763765.58</v>
      </c>
      <c r="S21" s="68">
        <f t="shared" si="3"/>
        <v>763765.58</v>
      </c>
      <c r="T21" s="73">
        <f t="shared" si="1"/>
        <v>763765.58</v>
      </c>
      <c r="U21" s="68"/>
      <c r="V21" s="68"/>
      <c r="W21" s="68"/>
      <c r="X21" s="68"/>
      <c r="Y21" s="68"/>
      <c r="Z21" s="68"/>
    </row>
    <row r="22" spans="2:26" x14ac:dyDescent="0.25">
      <c r="C22" t="s">
        <v>59</v>
      </c>
      <c r="D22" s="13" t="s">
        <v>60</v>
      </c>
      <c r="E22" t="s">
        <v>385</v>
      </c>
      <c r="G22" s="68">
        <f>'FC Common pl 22'!S22</f>
        <v>640740.72</v>
      </c>
      <c r="H22" s="68">
        <f t="shared" si="3"/>
        <v>640740.72</v>
      </c>
      <c r="I22" s="68">
        <f t="shared" si="3"/>
        <v>640740.72</v>
      </c>
      <c r="J22" s="68">
        <f t="shared" si="3"/>
        <v>640740.72</v>
      </c>
      <c r="K22" s="68">
        <f t="shared" si="3"/>
        <v>640740.72</v>
      </c>
      <c r="L22" s="68">
        <f t="shared" si="3"/>
        <v>640740.72</v>
      </c>
      <c r="M22" s="68">
        <f t="shared" si="3"/>
        <v>640740.72</v>
      </c>
      <c r="N22" s="68">
        <f t="shared" si="3"/>
        <v>640740.72</v>
      </c>
      <c r="O22" s="68">
        <f t="shared" si="3"/>
        <v>640740.72</v>
      </c>
      <c r="P22" s="68">
        <f t="shared" si="3"/>
        <v>640740.72</v>
      </c>
      <c r="Q22" s="68">
        <f t="shared" si="3"/>
        <v>640740.72</v>
      </c>
      <c r="R22" s="68">
        <f t="shared" si="3"/>
        <v>640740.72</v>
      </c>
      <c r="S22" s="68">
        <f t="shared" si="3"/>
        <v>640740.72</v>
      </c>
      <c r="T22" s="73">
        <f t="shared" si="1"/>
        <v>640740.71999999986</v>
      </c>
      <c r="U22" s="68"/>
      <c r="V22" s="68"/>
      <c r="W22" s="68"/>
      <c r="X22" s="68"/>
      <c r="Y22" s="68"/>
      <c r="Z22" s="68"/>
    </row>
    <row r="23" spans="2:26" x14ac:dyDescent="0.25">
      <c r="C23" t="s">
        <v>61</v>
      </c>
      <c r="D23" s="13" t="s">
        <v>62</v>
      </c>
      <c r="E23" t="s">
        <v>385</v>
      </c>
      <c r="G23" s="68">
        <f>'FC Common pl 22'!S23</f>
        <v>32922.449999999997</v>
      </c>
      <c r="H23" s="68">
        <f t="shared" si="3"/>
        <v>32922.449999999997</v>
      </c>
      <c r="I23" s="68">
        <f t="shared" si="3"/>
        <v>32922.449999999997</v>
      </c>
      <c r="J23" s="68">
        <f t="shared" si="3"/>
        <v>32922.449999999997</v>
      </c>
      <c r="K23" s="68">
        <f t="shared" si="3"/>
        <v>32922.449999999997</v>
      </c>
      <c r="L23" s="68">
        <f t="shared" si="3"/>
        <v>32922.449999999997</v>
      </c>
      <c r="M23" s="68">
        <f t="shared" si="3"/>
        <v>32922.449999999997</v>
      </c>
      <c r="N23" s="68">
        <f t="shared" si="3"/>
        <v>32922.449999999997</v>
      </c>
      <c r="O23" s="68">
        <f t="shared" si="3"/>
        <v>32922.449999999997</v>
      </c>
      <c r="P23" s="68">
        <f t="shared" si="3"/>
        <v>32922.449999999997</v>
      </c>
      <c r="Q23" s="68">
        <f t="shared" si="3"/>
        <v>32922.449999999997</v>
      </c>
      <c r="R23" s="68">
        <f t="shared" si="3"/>
        <v>32922.449999999997</v>
      </c>
      <c r="S23" s="68">
        <f t="shared" si="3"/>
        <v>32922.449999999997</v>
      </c>
      <c r="T23" s="73">
        <f t="shared" si="1"/>
        <v>32922.450000000004</v>
      </c>
      <c r="U23" s="68"/>
      <c r="V23" s="68"/>
      <c r="W23" s="68"/>
      <c r="X23" s="68"/>
      <c r="Y23" s="68"/>
      <c r="Z23" s="68"/>
    </row>
    <row r="24" spans="2:26" x14ac:dyDescent="0.25">
      <c r="C24" t="s">
        <v>393</v>
      </c>
      <c r="D24" s="13" t="s">
        <v>64</v>
      </c>
      <c r="E24" t="s">
        <v>385</v>
      </c>
      <c r="G24" s="68">
        <f>'FC Common pl 22'!S24</f>
        <v>0</v>
      </c>
      <c r="H24" s="68"/>
      <c r="I24" s="68"/>
      <c r="J24" s="68"/>
      <c r="K24" s="68"/>
      <c r="L24" s="68">
        <f>'[1]FC with allocations'!H27</f>
        <v>0</v>
      </c>
      <c r="M24" s="68">
        <f>'[1]FC with allocations'!I27</f>
        <v>0</v>
      </c>
      <c r="N24" s="68">
        <f>'[1]FC with allocations'!J27</f>
        <v>0</v>
      </c>
      <c r="O24" s="68">
        <f>'[1]FC with allocations'!K27</f>
        <v>0</v>
      </c>
      <c r="P24" s="68">
        <f>'[1]FC with allocations'!L27</f>
        <v>0</v>
      </c>
      <c r="Q24" s="68">
        <f>'[1]FC with allocations'!M27</f>
        <v>0</v>
      </c>
      <c r="R24" s="68">
        <f>'[1]FC with allocations'!N27</f>
        <v>0</v>
      </c>
      <c r="S24" s="68">
        <f>'[1]FC with allocations'!O27</f>
        <v>0</v>
      </c>
      <c r="T24" s="74">
        <f t="shared" si="1"/>
        <v>0</v>
      </c>
      <c r="U24" s="68"/>
      <c r="V24" s="68"/>
      <c r="W24" s="68"/>
      <c r="X24" s="68"/>
      <c r="Y24" s="68"/>
      <c r="Z24" s="68"/>
    </row>
    <row r="25" spans="2:26" x14ac:dyDescent="0.25">
      <c r="C25" t="s">
        <v>394</v>
      </c>
      <c r="D25" s="13" t="s">
        <v>395</v>
      </c>
      <c r="E25" t="s">
        <v>385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75">
        <f t="shared" si="1"/>
        <v>0</v>
      </c>
      <c r="U25" s="68"/>
      <c r="V25" s="68"/>
      <c r="W25" s="68"/>
      <c r="X25" s="68"/>
      <c r="Y25" s="68"/>
      <c r="Z25" s="68"/>
    </row>
    <row r="26" spans="2:26" x14ac:dyDescent="0.25">
      <c r="G26" s="76">
        <f t="shared" ref="G26:T26" si="4">SUM(G13:G25)</f>
        <v>12191004.950000001</v>
      </c>
      <c r="H26" s="76">
        <f t="shared" si="4"/>
        <v>12191004.950000001</v>
      </c>
      <c r="I26" s="76">
        <f t="shared" si="4"/>
        <v>12191004.950000001</v>
      </c>
      <c r="J26" s="76">
        <f t="shared" si="4"/>
        <v>12191004.950000001</v>
      </c>
      <c r="K26" s="76">
        <f t="shared" si="4"/>
        <v>12191004.950000001</v>
      </c>
      <c r="L26" s="76">
        <f t="shared" si="4"/>
        <v>12191004.950000001</v>
      </c>
      <c r="M26" s="76">
        <f t="shared" si="4"/>
        <v>12191004.950000001</v>
      </c>
      <c r="N26" s="76">
        <f t="shared" si="4"/>
        <v>12191004.950000001</v>
      </c>
      <c r="O26" s="76">
        <f t="shared" si="4"/>
        <v>12191004.950000001</v>
      </c>
      <c r="P26" s="76">
        <f t="shared" si="4"/>
        <v>12191004.950000001</v>
      </c>
      <c r="Q26" s="76">
        <f t="shared" si="4"/>
        <v>12191004.950000001</v>
      </c>
      <c r="R26" s="76">
        <f t="shared" si="4"/>
        <v>12191004.950000001</v>
      </c>
      <c r="S26" s="76">
        <f t="shared" si="4"/>
        <v>12191004.950000001</v>
      </c>
      <c r="T26" s="76">
        <f t="shared" si="4"/>
        <v>12191004.949999997</v>
      </c>
      <c r="U26" s="68"/>
      <c r="V26" s="68"/>
      <c r="W26" s="68"/>
      <c r="X26" s="68"/>
      <c r="Y26" s="68"/>
      <c r="Z26" s="68"/>
    </row>
    <row r="27" spans="2:26" x14ac:dyDescent="0.25"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2:26" x14ac:dyDescent="0.25"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73"/>
      <c r="R28" s="73"/>
      <c r="S28" s="73"/>
      <c r="T28" s="73"/>
      <c r="U28" s="68"/>
      <c r="V28" s="68"/>
      <c r="W28" s="68"/>
      <c r="X28" s="68"/>
      <c r="Y28" s="68"/>
      <c r="Z28" s="68"/>
    </row>
    <row r="29" spans="2:26" x14ac:dyDescent="0.25">
      <c r="G29" s="77">
        <f>'[1]FC with allocations'!C30+'[1]FC with allocations'!C35</f>
        <v>12225295</v>
      </c>
      <c r="H29" s="77">
        <f>'[1]FC with allocations'!D30+'[1]FC with allocations'!D35</f>
        <v>12235232</v>
      </c>
      <c r="I29" s="77">
        <f>'[1]FC with allocations'!E30+'[1]FC with allocations'!E35</f>
        <v>12243461</v>
      </c>
      <c r="J29" s="77">
        <f>'[1]FC with allocations'!F30+'[1]FC with allocations'!F35</f>
        <v>12244863</v>
      </c>
      <c r="K29" s="77">
        <f>'[1]FC with allocations'!G30+'[1]FC with allocations'!G35</f>
        <v>12193930</v>
      </c>
      <c r="L29" s="77">
        <f>'[1]FC with allocations'!H30+'[1]FC with allocations'!H35</f>
        <v>12195515</v>
      </c>
      <c r="M29" s="77">
        <f>'[1]FC with allocations'!I30+'[1]FC with allocations'!I35</f>
        <v>12201736</v>
      </c>
      <c r="N29" s="77">
        <f>'[1]FC with allocations'!J30+'[1]FC with allocations'!J35</f>
        <v>12217504</v>
      </c>
      <c r="O29" s="77">
        <f>'[1]FC with allocations'!K30+'[1]FC with allocations'!K35</f>
        <v>12226929</v>
      </c>
      <c r="P29" s="77">
        <f>'[1]FC with allocations'!L30+'[1]FC with allocations'!L35</f>
        <v>12196118</v>
      </c>
      <c r="Q29" s="77">
        <f>'[1]FC with allocations'!M30+'[1]FC with allocations'!M35</f>
        <v>12204811</v>
      </c>
      <c r="R29" s="77">
        <f>'[1]FC with allocations'!N30+'[1]FC with allocations'!N35</f>
        <v>12209309</v>
      </c>
      <c r="S29" s="77">
        <f>'[1]FC with allocations'!O30+'[1]FC with allocations'!O35</f>
        <v>12191005</v>
      </c>
      <c r="T29" s="75">
        <f>SUM(G29:S29)/13</f>
        <v>12214285.23076923</v>
      </c>
      <c r="U29" s="68"/>
      <c r="V29" s="68"/>
      <c r="W29" s="68"/>
      <c r="X29" s="68"/>
      <c r="Y29" s="68"/>
      <c r="Z29" s="68"/>
    </row>
    <row r="30" spans="2:26" x14ac:dyDescent="0.25">
      <c r="G30" s="68">
        <f>G29-G26-G10</f>
        <v>34290.049999998882</v>
      </c>
      <c r="H30" s="68">
        <f t="shared" ref="H30:T30" si="5">H29-H26-H10</f>
        <v>44227.049999998882</v>
      </c>
      <c r="I30" s="68">
        <f t="shared" si="5"/>
        <v>52456.049999998882</v>
      </c>
      <c r="J30" s="68">
        <f t="shared" si="5"/>
        <v>53858.049999998882</v>
      </c>
      <c r="K30" s="68">
        <f t="shared" si="5"/>
        <v>-492.95000000111759</v>
      </c>
      <c r="L30" s="68">
        <f t="shared" si="5"/>
        <v>1092.0499999988824</v>
      </c>
      <c r="M30" s="68">
        <f t="shared" si="5"/>
        <v>10731.049999998882</v>
      </c>
      <c r="N30" s="68">
        <f t="shared" si="5"/>
        <v>26499.049999998882</v>
      </c>
      <c r="O30" s="68">
        <f t="shared" si="5"/>
        <v>35924.049999998882</v>
      </c>
      <c r="P30" s="68">
        <f t="shared" si="5"/>
        <v>3749.0499999988824</v>
      </c>
      <c r="Q30" s="68">
        <f t="shared" si="5"/>
        <v>13806.049999998882</v>
      </c>
      <c r="R30" s="68">
        <f t="shared" si="5"/>
        <v>18304.049999998882</v>
      </c>
      <c r="S30" s="68">
        <f t="shared" si="5"/>
        <v>4.999999888241291E-2</v>
      </c>
      <c r="T30" s="68">
        <f t="shared" si="5"/>
        <v>22649.51153846343</v>
      </c>
      <c r="U30" s="68"/>
      <c r="V30" s="68"/>
      <c r="W30" s="68"/>
      <c r="X30" s="68"/>
      <c r="Y30" s="68"/>
      <c r="Z30" s="68"/>
    </row>
    <row r="31" spans="2:26" x14ac:dyDescent="0.25">
      <c r="B31" t="s">
        <v>396</v>
      </c>
      <c r="C31" s="67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3"/>
      <c r="U31" s="68"/>
      <c r="V31" s="68"/>
      <c r="W31" s="68"/>
      <c r="X31" s="68"/>
      <c r="Y31" s="68"/>
      <c r="Z31" s="68"/>
    </row>
    <row r="32" spans="2:26" x14ac:dyDescent="0.25"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73"/>
      <c r="R32" s="73"/>
      <c r="S32" s="73"/>
      <c r="T32" s="73"/>
      <c r="U32" s="68"/>
      <c r="V32" s="68"/>
      <c r="W32" s="68"/>
      <c r="X32" s="68"/>
      <c r="Y32" s="68"/>
      <c r="Z32" s="68"/>
    </row>
    <row r="33" spans="3:26" x14ac:dyDescent="0.25"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73"/>
      <c r="R33" s="73"/>
      <c r="S33" s="73"/>
      <c r="T33" s="73"/>
      <c r="U33" s="68"/>
      <c r="V33" s="68"/>
      <c r="W33" s="68"/>
      <c r="X33" s="68"/>
      <c r="Y33" s="68"/>
      <c r="Z33" s="68"/>
    </row>
    <row r="34" spans="3:26" x14ac:dyDescent="0.25">
      <c r="C34" s="67" t="s">
        <v>397</v>
      </c>
      <c r="D34" s="13">
        <v>10801080</v>
      </c>
      <c r="E34" t="s">
        <v>398</v>
      </c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73">
        <f t="shared" ref="T34" si="6">SUM(G34:S34)/13</f>
        <v>0</v>
      </c>
      <c r="U34" s="68"/>
      <c r="V34" s="68"/>
      <c r="W34" s="68"/>
      <c r="X34" s="68"/>
      <c r="Y34" s="68"/>
      <c r="Z34" s="68"/>
    </row>
    <row r="35" spans="3:26" x14ac:dyDescent="0.25">
      <c r="C35" t="s">
        <v>399</v>
      </c>
      <c r="D35" s="13" t="s">
        <v>76</v>
      </c>
      <c r="E35" t="s">
        <v>385</v>
      </c>
      <c r="G35" s="68">
        <f>'FC Common pl 22'!S35</f>
        <v>-598302.86592708318</v>
      </c>
      <c r="H35" s="68">
        <f>G35-'FC depreciation adjustment 23'!B4</f>
        <v>-613149.54475434008</v>
      </c>
      <c r="I35" s="68">
        <f>H35-'FC depreciation adjustment 23'!C4</f>
        <v>-627996.22358159698</v>
      </c>
      <c r="J35" s="68">
        <f>I35-'FC depreciation adjustment 23'!D4</f>
        <v>-642842.90240885387</v>
      </c>
      <c r="K35" s="68">
        <f>J35-'FC depreciation adjustment 23'!E4</f>
        <v>-657689.58123611077</v>
      </c>
      <c r="L35" s="68">
        <f>K35-'FC depreciation adjustment 23'!F4</f>
        <v>-672536.26006336766</v>
      </c>
      <c r="M35" s="68">
        <f>L35-'FC depreciation adjustment 23'!G4</f>
        <v>-687382.93889062456</v>
      </c>
      <c r="N35" s="68">
        <f>M35-'FC depreciation adjustment 23'!H4</f>
        <v>-702229.61771788145</v>
      </c>
      <c r="O35" s="68">
        <f>N35-'FC depreciation adjustment 23'!I4</f>
        <v>-717076.29654513835</v>
      </c>
      <c r="P35" s="68">
        <f>O35-'FC depreciation adjustment 23'!J4</f>
        <v>-731922.97537239525</v>
      </c>
      <c r="Q35" s="68">
        <f>P35-'FC depreciation adjustment 23'!K4</f>
        <v>-746769.65419965214</v>
      </c>
      <c r="R35" s="68">
        <f>Q35-'FC depreciation adjustment 23'!L4</f>
        <v>-761616.33302690904</v>
      </c>
      <c r="S35" s="68">
        <f>R35-'FC depreciation adjustment 23'!M4</f>
        <v>-776463.01185416593</v>
      </c>
      <c r="T35" s="73">
        <f t="shared" ref="T35:T44" si="7">SUM(G35:S35)/13</f>
        <v>-687382.93889062467</v>
      </c>
      <c r="U35" s="68"/>
      <c r="V35" s="68"/>
      <c r="W35" s="68"/>
      <c r="X35" s="68"/>
      <c r="Y35" s="68"/>
      <c r="Z35" s="68"/>
    </row>
    <row r="36" spans="3:26" x14ac:dyDescent="0.25">
      <c r="C36" t="s">
        <v>400</v>
      </c>
      <c r="D36" s="13" t="s">
        <v>77</v>
      </c>
      <c r="E36" t="s">
        <v>385</v>
      </c>
      <c r="G36" s="68">
        <f>'FC Common pl 22'!S36</f>
        <v>-89178.739999999976</v>
      </c>
      <c r="H36" s="68">
        <f>G36-'FC depreciation adjustment 23'!B5</f>
        <v>-94109.019999999975</v>
      </c>
      <c r="I36" s="68">
        <f>H36-'FC depreciation adjustment 23'!C5</f>
        <v>-99039.299999999974</v>
      </c>
      <c r="J36" s="68">
        <f>I36-'FC depreciation adjustment 23'!D5</f>
        <v>-103969.57999999997</v>
      </c>
      <c r="K36" s="68">
        <f>J36-'FC depreciation adjustment 23'!E5</f>
        <v>-108899.85999999997</v>
      </c>
      <c r="L36" s="68">
        <f>K36-'FC depreciation adjustment 23'!F5</f>
        <v>-113830.13999999997</v>
      </c>
      <c r="M36" s="68">
        <f>L36-'FC depreciation adjustment 23'!G5</f>
        <v>-118760.41999999997</v>
      </c>
      <c r="N36" s="68">
        <f>M36-'FC depreciation adjustment 23'!H5</f>
        <v>-123690.69999999997</v>
      </c>
      <c r="O36" s="68">
        <f>N36-'FC depreciation adjustment 23'!I5</f>
        <v>-128620.97999999997</v>
      </c>
      <c r="P36" s="68">
        <f>O36-'FC depreciation adjustment 23'!J5</f>
        <v>-133551.25999999998</v>
      </c>
      <c r="Q36" s="68">
        <f>P36-'FC depreciation adjustment 23'!K5</f>
        <v>-138481.53999999998</v>
      </c>
      <c r="R36" s="68">
        <f>Q36-'FC depreciation adjustment 23'!L5</f>
        <v>-143411.81999999998</v>
      </c>
      <c r="S36" s="68">
        <f>R36-'FC depreciation adjustment 23'!M5</f>
        <v>-148342.09999999998</v>
      </c>
      <c r="T36" s="73">
        <f t="shared" si="7"/>
        <v>-118760.42</v>
      </c>
      <c r="U36" s="68"/>
      <c r="V36" s="68"/>
      <c r="W36" s="68"/>
      <c r="X36" s="68"/>
      <c r="Y36" s="68"/>
      <c r="Z36" s="68"/>
    </row>
    <row r="37" spans="3:26" x14ac:dyDescent="0.25">
      <c r="C37" t="s">
        <v>401</v>
      </c>
      <c r="D37" s="13">
        <v>10803912</v>
      </c>
      <c r="E37" t="s">
        <v>383</v>
      </c>
      <c r="G37" s="68">
        <f>'FC Common pl 22'!S37</f>
        <v>-275760.49999999994</v>
      </c>
      <c r="H37" s="68">
        <f>G37-'FC depreciation adjustment 23'!B6</f>
        <v>-290388.92999999993</v>
      </c>
      <c r="I37" s="68">
        <f>H37-'FC depreciation adjustment 23'!C6</f>
        <v>-305017.35999999993</v>
      </c>
      <c r="J37" s="68">
        <f>I37-'FC depreciation adjustment 23'!D6</f>
        <v>-319645.78999999992</v>
      </c>
      <c r="K37" s="68">
        <f>J37-'FC depreciation adjustment 23'!E6</f>
        <v>-334274.21999999991</v>
      </c>
      <c r="L37" s="68">
        <f>K37-'FC depreciation adjustment 23'!F6</f>
        <v>-348902.64999999991</v>
      </c>
      <c r="M37" s="68">
        <f>L37-'FC depreciation adjustment 23'!G6</f>
        <v>-363531.0799999999</v>
      </c>
      <c r="N37" s="68">
        <f>M37-'FC depreciation adjustment 23'!H6</f>
        <v>-378159.50999999989</v>
      </c>
      <c r="O37" s="68">
        <f>N37-'FC depreciation adjustment 23'!I6</f>
        <v>-392787.93999999989</v>
      </c>
      <c r="P37" s="68">
        <f>O37-'FC depreciation adjustment 23'!J6</f>
        <v>-407416.36999999988</v>
      </c>
      <c r="Q37" s="68">
        <f>P37-'FC depreciation adjustment 23'!K6</f>
        <v>-422044.79999999987</v>
      </c>
      <c r="R37" s="68">
        <f>Q37-'FC depreciation adjustment 23'!L6</f>
        <v>-436673.22999999986</v>
      </c>
      <c r="S37" s="68">
        <f>R37-'FC depreciation adjustment 23'!M6</f>
        <v>-451301.65999999986</v>
      </c>
      <c r="T37" s="73">
        <f t="shared" si="7"/>
        <v>-363531.07999999984</v>
      </c>
      <c r="U37" s="68"/>
      <c r="V37" s="68"/>
      <c r="W37" s="68"/>
      <c r="X37" s="68"/>
      <c r="Y37" s="68"/>
      <c r="Z37" s="68"/>
    </row>
    <row r="38" spans="3:26" x14ac:dyDescent="0.25">
      <c r="C38" t="s">
        <v>402</v>
      </c>
      <c r="D38" s="13">
        <v>10803913</v>
      </c>
      <c r="E38" t="s">
        <v>385</v>
      </c>
      <c r="G38" s="68">
        <f>'FC Common pl 22'!S38</f>
        <v>246784.50000000006</v>
      </c>
      <c r="H38" s="68">
        <f>G38-'FC depreciation adjustment 23'!B7</f>
        <v>247337.66000000006</v>
      </c>
      <c r="I38" s="68">
        <f>H38-'FC depreciation adjustment 23'!C7</f>
        <v>247890.82000000007</v>
      </c>
      <c r="J38" s="68">
        <f>I38-'FC depreciation adjustment 23'!D7</f>
        <v>248443.98000000007</v>
      </c>
      <c r="K38" s="68">
        <f>J38-'FC depreciation adjustment 23'!E7</f>
        <v>248997.14000000007</v>
      </c>
      <c r="L38" s="68">
        <f>K38-'FC depreciation adjustment 23'!F7</f>
        <v>249550.30000000008</v>
      </c>
      <c r="M38" s="68">
        <f>L38-'FC depreciation adjustment 23'!G7</f>
        <v>250103.46000000008</v>
      </c>
      <c r="N38" s="68">
        <f>M38-'FC depreciation adjustment 23'!H7</f>
        <v>250656.62000000008</v>
      </c>
      <c r="O38" s="68">
        <f>N38-'FC depreciation adjustment 23'!I7</f>
        <v>251209.78000000009</v>
      </c>
      <c r="P38" s="68">
        <f>O38-'FC depreciation adjustment 23'!J7</f>
        <v>251762.94000000009</v>
      </c>
      <c r="Q38" s="68">
        <f>P38-'FC depreciation adjustment 23'!K7</f>
        <v>252316.10000000009</v>
      </c>
      <c r="R38" s="68">
        <f>Q38-'FC depreciation adjustment 23'!L7</f>
        <v>252869.2600000001</v>
      </c>
      <c r="S38" s="68">
        <f>R38-'FC depreciation adjustment 23'!M7</f>
        <v>253422.4200000001</v>
      </c>
      <c r="T38" s="73">
        <f t="shared" si="7"/>
        <v>250103.46000000008</v>
      </c>
      <c r="U38" s="68"/>
      <c r="V38" s="68"/>
      <c r="W38" s="68"/>
      <c r="X38" s="68"/>
      <c r="Y38" s="68"/>
      <c r="Z38" s="68"/>
    </row>
    <row r="39" spans="3:26" x14ac:dyDescent="0.25">
      <c r="C39" t="s">
        <v>403</v>
      </c>
      <c r="D39" s="13" t="s">
        <v>80</v>
      </c>
      <c r="E39" t="s">
        <v>385</v>
      </c>
      <c r="G39" s="68">
        <f>'FC Common pl 22'!S39</f>
        <v>35489.695680577599</v>
      </c>
      <c r="H39" s="68">
        <f>G39-'FC depreciation adjustment 23'!B8</f>
        <v>37694.541987292396</v>
      </c>
      <c r="I39" s="68">
        <f>H39-'FC depreciation adjustment 23'!C8</f>
        <v>39899.388294007193</v>
      </c>
      <c r="J39" s="68">
        <f>I39-'FC depreciation adjustment 23'!D8</f>
        <v>42104.234600721989</v>
      </c>
      <c r="K39" s="68">
        <f>J39-'FC depreciation adjustment 23'!E8</f>
        <v>44309.080907436786</v>
      </c>
      <c r="L39" s="68">
        <f>K39-'FC depreciation adjustment 23'!F8</f>
        <v>46513.927214151583</v>
      </c>
      <c r="M39" s="68">
        <f>L39-'FC depreciation adjustment 23'!G8</f>
        <v>48718.77352086638</v>
      </c>
      <c r="N39" s="68">
        <f>M39-'FC depreciation adjustment 23'!H8</f>
        <v>50923.619827581177</v>
      </c>
      <c r="O39" s="68">
        <f>N39-'FC depreciation adjustment 23'!I8</f>
        <v>53128.466134295973</v>
      </c>
      <c r="P39" s="68">
        <f>O39-'FC depreciation adjustment 23'!J8</f>
        <v>55333.31244101077</v>
      </c>
      <c r="Q39" s="68">
        <f>P39-'FC depreciation adjustment 23'!K8</f>
        <v>57538.158747725567</v>
      </c>
      <c r="R39" s="68">
        <f>Q39-'FC depreciation adjustment 23'!L8</f>
        <v>59743.005054440364</v>
      </c>
      <c r="S39" s="68">
        <f>R39-'FC depreciation adjustment 23'!M8</f>
        <v>61947.851361155161</v>
      </c>
      <c r="T39" s="73">
        <f t="shared" si="7"/>
        <v>48718.77352086638</v>
      </c>
      <c r="U39" s="68"/>
      <c r="V39" s="68"/>
      <c r="W39" s="68"/>
      <c r="X39" s="68"/>
      <c r="Y39" s="68"/>
      <c r="Z39" s="68"/>
    </row>
    <row r="40" spans="3:26" x14ac:dyDescent="0.25">
      <c r="C40" t="s">
        <v>404</v>
      </c>
      <c r="D40" s="13" t="s">
        <v>81</v>
      </c>
      <c r="E40" t="s">
        <v>385</v>
      </c>
      <c r="G40" s="68">
        <f>'FC Common pl 22'!S40</f>
        <v>-200738.10883516833</v>
      </c>
      <c r="H40" s="68">
        <f>G40-'FC depreciation adjustment 23'!B9</f>
        <v>-204480.79873809902</v>
      </c>
      <c r="I40" s="68">
        <f>H40-'FC depreciation adjustment 23'!C9</f>
        <v>-208223.48864102972</v>
      </c>
      <c r="J40" s="68">
        <f>I40-'FC depreciation adjustment 23'!D9</f>
        <v>-211966.17854396041</v>
      </c>
      <c r="K40" s="68">
        <f>J40-'FC depreciation adjustment 23'!E9</f>
        <v>-215708.86844689111</v>
      </c>
      <c r="L40" s="68">
        <f>K40-'FC depreciation adjustment 23'!F9</f>
        <v>-219451.5583498218</v>
      </c>
      <c r="M40" s="68">
        <f>L40-'FC depreciation adjustment 23'!G9</f>
        <v>-223194.2482527525</v>
      </c>
      <c r="N40" s="68">
        <f>M40-'FC depreciation adjustment 23'!H9</f>
        <v>-226936.93815568319</v>
      </c>
      <c r="O40" s="68">
        <f>N40-'FC depreciation adjustment 23'!I9</f>
        <v>-230679.62805861389</v>
      </c>
      <c r="P40" s="68">
        <f>O40-'FC depreciation adjustment 23'!J9</f>
        <v>-234422.31796154458</v>
      </c>
      <c r="Q40" s="68">
        <f>P40-'FC depreciation adjustment 23'!K9</f>
        <v>-238165.00786447528</v>
      </c>
      <c r="R40" s="68">
        <f>Q40-'FC depreciation adjustment 23'!L9</f>
        <v>-241907.69776740597</v>
      </c>
      <c r="S40" s="68">
        <f>R40-'FC depreciation adjustment 23'!M9</f>
        <v>-245650.38767033667</v>
      </c>
      <c r="T40" s="73">
        <f t="shared" si="7"/>
        <v>-223194.2482527525</v>
      </c>
      <c r="U40" s="68"/>
      <c r="V40" s="68"/>
      <c r="W40" s="68"/>
      <c r="X40" s="68"/>
      <c r="Y40" s="68"/>
      <c r="Z40" s="68"/>
    </row>
    <row r="41" spans="3:26" x14ac:dyDescent="0.25">
      <c r="C41" t="s">
        <v>405</v>
      </c>
      <c r="D41" s="13" t="s">
        <v>82</v>
      </c>
      <c r="E41" t="s">
        <v>385</v>
      </c>
      <c r="G41" s="68">
        <f>'FC Common pl 22'!S41</f>
        <v>-318389.25920603942</v>
      </c>
      <c r="H41" s="68">
        <f>G41-'FC depreciation adjustment 23'!B10</f>
        <v>-323735.61913987604</v>
      </c>
      <c r="I41" s="68">
        <f>H41-'FC depreciation adjustment 23'!C10</f>
        <v>-329081.97907371266</v>
      </c>
      <c r="J41" s="68">
        <f>I41-'FC depreciation adjustment 23'!D10</f>
        <v>-334428.33900754928</v>
      </c>
      <c r="K41" s="68">
        <f>J41-'FC depreciation adjustment 23'!E10</f>
        <v>-339774.6989413859</v>
      </c>
      <c r="L41" s="68">
        <f>K41-'FC depreciation adjustment 23'!F10</f>
        <v>-345121.05887522252</v>
      </c>
      <c r="M41" s="68">
        <f>L41-'FC depreciation adjustment 23'!G10</f>
        <v>-350467.41880905913</v>
      </c>
      <c r="N41" s="68">
        <f>M41-'FC depreciation adjustment 23'!H10</f>
        <v>-355813.77874289575</v>
      </c>
      <c r="O41" s="68">
        <f>N41-'FC depreciation adjustment 23'!I10</f>
        <v>-361160.13867673237</v>
      </c>
      <c r="P41" s="68">
        <f>O41-'FC depreciation adjustment 23'!J10</f>
        <v>-366506.49861056899</v>
      </c>
      <c r="Q41" s="68">
        <f>P41-'FC depreciation adjustment 23'!K10</f>
        <v>-371852.85854440561</v>
      </c>
      <c r="R41" s="68">
        <f>Q41-'FC depreciation adjustment 23'!L10</f>
        <v>-377199.21847824223</v>
      </c>
      <c r="S41" s="68">
        <f>R41-'FC depreciation adjustment 23'!M10</f>
        <v>-382545.57841207884</v>
      </c>
      <c r="T41" s="73">
        <f t="shared" si="7"/>
        <v>-350467.41880905913</v>
      </c>
      <c r="U41" s="68"/>
      <c r="V41" s="68"/>
      <c r="W41" s="68"/>
      <c r="X41" s="68"/>
      <c r="Y41" s="68"/>
      <c r="Z41" s="68"/>
    </row>
    <row r="42" spans="3:26" x14ac:dyDescent="0.25">
      <c r="C42" t="s">
        <v>406</v>
      </c>
      <c r="D42" s="13" t="s">
        <v>83</v>
      </c>
      <c r="E42" t="s">
        <v>385</v>
      </c>
      <c r="G42" s="68">
        <f>'FC Common pl 22'!S42</f>
        <v>-265351.07487438613</v>
      </c>
      <c r="H42" s="68">
        <f>G42-'FC depreciation adjustment 23'!B11</f>
        <v>-271459.05611391831</v>
      </c>
      <c r="I42" s="68">
        <f>H42-'FC depreciation adjustment 23'!C11</f>
        <v>-277567.03735345049</v>
      </c>
      <c r="J42" s="68">
        <f>I42-'FC depreciation adjustment 23'!D11</f>
        <v>-283675.01859298267</v>
      </c>
      <c r="K42" s="68">
        <f>J42-'FC depreciation adjustment 23'!E11</f>
        <v>-289782.99983251485</v>
      </c>
      <c r="L42" s="68">
        <f>K42-'FC depreciation adjustment 23'!F11</f>
        <v>-295890.98107204703</v>
      </c>
      <c r="M42" s="68">
        <f>L42-'FC depreciation adjustment 23'!G11</f>
        <v>-301998.96231157921</v>
      </c>
      <c r="N42" s="68">
        <f>M42-'FC depreciation adjustment 23'!H11</f>
        <v>-308106.94355111138</v>
      </c>
      <c r="O42" s="68">
        <f>N42-'FC depreciation adjustment 23'!I11</f>
        <v>-314214.92479064356</v>
      </c>
      <c r="P42" s="68">
        <f>O42-'FC depreciation adjustment 23'!J11</f>
        <v>-320322.90603017574</v>
      </c>
      <c r="Q42" s="68">
        <f>P42-'FC depreciation adjustment 23'!K11</f>
        <v>-326430.88726970792</v>
      </c>
      <c r="R42" s="68">
        <f>Q42-'FC depreciation adjustment 23'!L11</f>
        <v>-332538.8685092401</v>
      </c>
      <c r="S42" s="68">
        <f>R42-'FC depreciation adjustment 23'!M11</f>
        <v>-338646.84974877228</v>
      </c>
      <c r="T42" s="73">
        <f t="shared" si="7"/>
        <v>-301998.96231157915</v>
      </c>
      <c r="U42" s="68"/>
      <c r="V42" s="68"/>
      <c r="W42" s="68"/>
      <c r="X42" s="68"/>
      <c r="Y42" s="68"/>
      <c r="Z42" s="68"/>
    </row>
    <row r="43" spans="3:26" x14ac:dyDescent="0.25">
      <c r="C43" t="s">
        <v>407</v>
      </c>
      <c r="D43" s="13" t="s">
        <v>84</v>
      </c>
      <c r="E43" t="s">
        <v>385</v>
      </c>
      <c r="G43" s="68">
        <f>'FC Common pl 22'!S43</f>
        <v>-18740.33984787239</v>
      </c>
      <c r="H43" s="68">
        <f>G43-'FC depreciation adjustment 23'!B12</f>
        <v>-19470.549835195088</v>
      </c>
      <c r="I43" s="68">
        <f>H43-'FC depreciation adjustment 23'!C12</f>
        <v>-20200.759822517786</v>
      </c>
      <c r="J43" s="68">
        <f>I43-'FC depreciation adjustment 23'!D12</f>
        <v>-20930.969809840484</v>
      </c>
      <c r="K43" s="68">
        <f>J43-'FC depreciation adjustment 23'!E12</f>
        <v>-21661.179797163182</v>
      </c>
      <c r="L43" s="68">
        <f>K43-'FC depreciation adjustment 23'!F12</f>
        <v>-22391.38978448588</v>
      </c>
      <c r="M43" s="68">
        <f>L43-'FC depreciation adjustment 23'!G12</f>
        <v>-23121.599771808578</v>
      </c>
      <c r="N43" s="68">
        <f>M43-'FC depreciation adjustment 23'!H12</f>
        <v>-23851.809759131276</v>
      </c>
      <c r="O43" s="68">
        <f>N43-'FC depreciation adjustment 23'!I12</f>
        <v>-24582.019746453974</v>
      </c>
      <c r="P43" s="68">
        <f>O43-'FC depreciation adjustment 23'!J12</f>
        <v>-25312.229733776672</v>
      </c>
      <c r="Q43" s="68">
        <f>P43-'FC depreciation adjustment 23'!K12</f>
        <v>-26042.43972109937</v>
      </c>
      <c r="R43" s="68">
        <f>Q43-'FC depreciation adjustment 23'!L12</f>
        <v>-26772.649708422068</v>
      </c>
      <c r="S43" s="68">
        <f>R43-'FC depreciation adjustment 23'!M12</f>
        <v>-27502.859695744766</v>
      </c>
      <c r="T43" s="73">
        <f t="shared" si="7"/>
        <v>-23121.599771808578</v>
      </c>
      <c r="U43" s="68"/>
      <c r="V43" s="68"/>
      <c r="W43" s="68"/>
      <c r="X43" s="68"/>
      <c r="Y43" s="68"/>
      <c r="Z43" s="68"/>
    </row>
    <row r="44" spans="3:26" x14ac:dyDescent="0.25">
      <c r="C44" t="s">
        <v>408</v>
      </c>
      <c r="D44" s="13" t="s">
        <v>85</v>
      </c>
      <c r="E44" t="s">
        <v>385</v>
      </c>
      <c r="G44" s="68">
        <f>'FC Common pl 22'!S44</f>
        <v>0</v>
      </c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73">
        <f t="shared" si="7"/>
        <v>0</v>
      </c>
      <c r="U44" s="68"/>
      <c r="V44" s="68"/>
      <c r="W44" s="68"/>
      <c r="X44" s="68"/>
      <c r="Y44" s="68"/>
      <c r="Z44" s="68"/>
    </row>
    <row r="45" spans="3:26" x14ac:dyDescent="0.25">
      <c r="C45" s="13" t="s">
        <v>86</v>
      </c>
      <c r="D45" s="13" t="s">
        <v>87</v>
      </c>
      <c r="E45" t="s">
        <v>385</v>
      </c>
      <c r="G45" s="68">
        <f>'FC Common pl 22'!S45</f>
        <v>25334</v>
      </c>
      <c r="H45" s="68">
        <f>G45</f>
        <v>25334</v>
      </c>
      <c r="I45" s="68">
        <f t="shared" ref="I45:S45" si="8">H45</f>
        <v>25334</v>
      </c>
      <c r="J45" s="68">
        <f t="shared" si="8"/>
        <v>25334</v>
      </c>
      <c r="K45" s="68">
        <f t="shared" si="8"/>
        <v>25334</v>
      </c>
      <c r="L45" s="68">
        <f t="shared" si="8"/>
        <v>25334</v>
      </c>
      <c r="M45" s="68">
        <f t="shared" si="8"/>
        <v>25334</v>
      </c>
      <c r="N45" s="68">
        <f t="shared" si="8"/>
        <v>25334</v>
      </c>
      <c r="O45" s="68">
        <f t="shared" si="8"/>
        <v>25334</v>
      </c>
      <c r="P45" s="68">
        <f t="shared" si="8"/>
        <v>25334</v>
      </c>
      <c r="Q45" s="68">
        <f t="shared" si="8"/>
        <v>25334</v>
      </c>
      <c r="R45" s="68">
        <f t="shared" si="8"/>
        <v>25334</v>
      </c>
      <c r="S45" s="68">
        <f t="shared" si="8"/>
        <v>25334</v>
      </c>
      <c r="T45" s="73">
        <f t="shared" ref="T45:T47" si="9">SUM(G45:S45)/13</f>
        <v>25334</v>
      </c>
      <c r="U45" s="68"/>
      <c r="V45" s="68"/>
      <c r="W45" s="68"/>
      <c r="X45" s="68"/>
      <c r="Y45" s="68"/>
      <c r="Z45" s="68"/>
    </row>
    <row r="46" spans="3:26" x14ac:dyDescent="0.25">
      <c r="C46" s="13" t="s">
        <v>88</v>
      </c>
      <c r="D46" s="13" t="s">
        <v>89</v>
      </c>
      <c r="E46" t="s">
        <v>385</v>
      </c>
      <c r="G46" s="68">
        <f>'FC Common pl 22'!S46</f>
        <v>22241</v>
      </c>
      <c r="H46" s="68">
        <f t="shared" ref="H46:S47" si="10">G46</f>
        <v>22241</v>
      </c>
      <c r="I46" s="68">
        <f t="shared" si="10"/>
        <v>22241</v>
      </c>
      <c r="J46" s="68">
        <f t="shared" si="10"/>
        <v>22241</v>
      </c>
      <c r="K46" s="68">
        <f t="shared" si="10"/>
        <v>22241</v>
      </c>
      <c r="L46" s="68">
        <f t="shared" si="10"/>
        <v>22241</v>
      </c>
      <c r="M46" s="68">
        <f t="shared" si="10"/>
        <v>22241</v>
      </c>
      <c r="N46" s="68">
        <f t="shared" si="10"/>
        <v>22241</v>
      </c>
      <c r="O46" s="68">
        <f t="shared" si="10"/>
        <v>22241</v>
      </c>
      <c r="P46" s="68">
        <f t="shared" si="10"/>
        <v>22241</v>
      </c>
      <c r="Q46" s="68">
        <f t="shared" si="10"/>
        <v>22241</v>
      </c>
      <c r="R46" s="68">
        <f t="shared" si="10"/>
        <v>22241</v>
      </c>
      <c r="S46" s="68">
        <f t="shared" si="10"/>
        <v>22241</v>
      </c>
      <c r="T46" s="73">
        <f t="shared" si="9"/>
        <v>22241</v>
      </c>
      <c r="U46" s="68"/>
      <c r="V46" s="68"/>
      <c r="W46" s="68"/>
      <c r="X46" s="68"/>
      <c r="Y46" s="68"/>
      <c r="Z46" s="68"/>
    </row>
    <row r="47" spans="3:26" x14ac:dyDescent="0.25">
      <c r="C47" s="13" t="s">
        <v>90</v>
      </c>
      <c r="D47" s="13" t="s">
        <v>91</v>
      </c>
      <c r="E47" t="s">
        <v>385</v>
      </c>
      <c r="G47" s="68">
        <f>'FC Common pl 22'!S47</f>
        <v>-45669</v>
      </c>
      <c r="H47" s="68">
        <f t="shared" si="10"/>
        <v>-45669</v>
      </c>
      <c r="I47" s="68">
        <f t="shared" si="10"/>
        <v>-45669</v>
      </c>
      <c r="J47" s="68">
        <f t="shared" si="10"/>
        <v>-45669</v>
      </c>
      <c r="K47" s="68">
        <f t="shared" si="10"/>
        <v>-45669</v>
      </c>
      <c r="L47" s="68">
        <f t="shared" si="10"/>
        <v>-45669</v>
      </c>
      <c r="M47" s="68">
        <f t="shared" si="10"/>
        <v>-45669</v>
      </c>
      <c r="N47" s="68">
        <f t="shared" si="10"/>
        <v>-45669</v>
      </c>
      <c r="O47" s="68">
        <f t="shared" si="10"/>
        <v>-45669</v>
      </c>
      <c r="P47" s="68">
        <f t="shared" si="10"/>
        <v>-45669</v>
      </c>
      <c r="Q47" s="68">
        <f t="shared" si="10"/>
        <v>-45669</v>
      </c>
      <c r="R47" s="68">
        <f t="shared" si="10"/>
        <v>-45669</v>
      </c>
      <c r="S47" s="68">
        <f t="shared" si="10"/>
        <v>-45669</v>
      </c>
      <c r="T47" s="73">
        <f t="shared" si="9"/>
        <v>-45669</v>
      </c>
      <c r="U47" s="68"/>
      <c r="V47" s="68"/>
      <c r="W47" s="68"/>
      <c r="X47" s="68"/>
      <c r="Y47" s="68"/>
      <c r="Z47" s="68"/>
    </row>
    <row r="48" spans="3:26" x14ac:dyDescent="0.25">
      <c r="G48" s="71">
        <f t="shared" ref="G48:T48" si="11">SUM(G34:G47)</f>
        <v>-1482280.6930099721</v>
      </c>
      <c r="H48" s="71">
        <f t="shared" si="11"/>
        <v>-1529855.3165941362</v>
      </c>
      <c r="I48" s="71">
        <f t="shared" si="11"/>
        <v>-1577429.9401783003</v>
      </c>
      <c r="J48" s="71">
        <f t="shared" si="11"/>
        <v>-1625004.5637624646</v>
      </c>
      <c r="K48" s="71">
        <f t="shared" si="11"/>
        <v>-1672579.1873466289</v>
      </c>
      <c r="L48" s="71">
        <f t="shared" si="11"/>
        <v>-1720153.8109307929</v>
      </c>
      <c r="M48" s="71">
        <f t="shared" si="11"/>
        <v>-1767728.4345149572</v>
      </c>
      <c r="N48" s="71">
        <f t="shared" si="11"/>
        <v>-1815303.0580991213</v>
      </c>
      <c r="O48" s="71">
        <f t="shared" si="11"/>
        <v>-1862877.6816832861</v>
      </c>
      <c r="P48" s="71">
        <f t="shared" si="11"/>
        <v>-1910452.3052674504</v>
      </c>
      <c r="Q48" s="71">
        <f t="shared" si="11"/>
        <v>-1958026.9288516145</v>
      </c>
      <c r="R48" s="71">
        <f t="shared" si="11"/>
        <v>-2005601.5524357788</v>
      </c>
      <c r="S48" s="71">
        <f t="shared" si="11"/>
        <v>-2053176.1760199431</v>
      </c>
      <c r="T48" s="71">
        <f t="shared" si="11"/>
        <v>-1767728.4345149575</v>
      </c>
      <c r="U48" s="68"/>
      <c r="V48" s="68"/>
      <c r="W48" s="68"/>
      <c r="X48" s="68"/>
      <c r="Y48" s="68"/>
      <c r="Z48" s="68"/>
    </row>
    <row r="49" spans="1:26" x14ac:dyDescent="0.25">
      <c r="G49" s="76">
        <f t="shared" ref="G49:T49" si="12">G48+G31</f>
        <v>-1482280.6930099721</v>
      </c>
      <c r="H49" s="76">
        <f t="shared" si="12"/>
        <v>-1529855.3165941362</v>
      </c>
      <c r="I49" s="76">
        <f t="shared" si="12"/>
        <v>-1577429.9401783003</v>
      </c>
      <c r="J49" s="76">
        <f t="shared" si="12"/>
        <v>-1625004.5637624646</v>
      </c>
      <c r="K49" s="76">
        <f t="shared" si="12"/>
        <v>-1672579.1873466289</v>
      </c>
      <c r="L49" s="76">
        <f t="shared" si="12"/>
        <v>-1720153.8109307929</v>
      </c>
      <c r="M49" s="76">
        <f t="shared" si="12"/>
        <v>-1767728.4345149572</v>
      </c>
      <c r="N49" s="76">
        <f t="shared" si="12"/>
        <v>-1815303.0580991213</v>
      </c>
      <c r="O49" s="76">
        <f t="shared" si="12"/>
        <v>-1862877.6816832861</v>
      </c>
      <c r="P49" s="76">
        <f t="shared" si="12"/>
        <v>-1910452.3052674504</v>
      </c>
      <c r="Q49" s="76">
        <f t="shared" si="12"/>
        <v>-1958026.9288516145</v>
      </c>
      <c r="R49" s="76">
        <f t="shared" si="12"/>
        <v>-2005601.5524357788</v>
      </c>
      <c r="S49" s="76">
        <f t="shared" si="12"/>
        <v>-2053176.1760199431</v>
      </c>
      <c r="T49" s="76">
        <f t="shared" si="12"/>
        <v>-1767728.4345149575</v>
      </c>
      <c r="U49" s="68"/>
      <c r="V49" s="68"/>
      <c r="W49" s="68"/>
      <c r="X49" s="68"/>
      <c r="Y49" s="68"/>
      <c r="Z49" s="68"/>
    </row>
    <row r="50" spans="1:26" x14ac:dyDescent="0.25"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73"/>
      <c r="R50" s="73"/>
      <c r="S50" s="73"/>
      <c r="T50" s="68"/>
      <c r="U50" s="68"/>
      <c r="V50" s="68"/>
      <c r="W50" s="68"/>
      <c r="X50" s="68"/>
      <c r="Y50" s="68"/>
      <c r="Z50" s="68"/>
    </row>
    <row r="51" spans="1:26" x14ac:dyDescent="0.25">
      <c r="G51" s="79">
        <f>'[1]FC with allocations'!C53</f>
        <v>-601375</v>
      </c>
      <c r="H51" s="79">
        <f>'[1]FC with allocations'!D53</f>
        <v>-649606</v>
      </c>
      <c r="I51" s="79">
        <f>'[1]FC with allocations'!E53</f>
        <v>-697833</v>
      </c>
      <c r="J51" s="79">
        <f>'[1]FC with allocations'!F53</f>
        <v>-742448</v>
      </c>
      <c r="K51" s="79">
        <f>'[1]FC with allocations'!G53</f>
        <v>-734925</v>
      </c>
      <c r="L51" s="79">
        <f>'[1]FC with allocations'!H53</f>
        <v>-783218</v>
      </c>
      <c r="M51" s="79">
        <f>'[1]FC with allocations'!I53</f>
        <v>-831093</v>
      </c>
      <c r="N51" s="79">
        <f>'[1]FC with allocations'!J53</f>
        <v>-878925</v>
      </c>
      <c r="O51" s="79">
        <f>'[1]FC with allocations'!K53</f>
        <v>-926927</v>
      </c>
      <c r="P51" s="79">
        <f>'[1]FC with allocations'!L53</f>
        <v>-942929</v>
      </c>
      <c r="Q51" s="75">
        <f>'[1]FC with allocations'!M53</f>
        <v>-991185</v>
      </c>
      <c r="R51" s="75">
        <f>'[1]FC with allocations'!N53</f>
        <v>-1039173</v>
      </c>
      <c r="S51" s="75">
        <f>'[1]FC with allocations'!O53</f>
        <v>-911386</v>
      </c>
      <c r="T51" s="79">
        <f>('[1]FC with allocations'!P53)/13</f>
        <v>-825463.30769230775</v>
      </c>
      <c r="U51" s="68"/>
      <c r="V51" s="68"/>
      <c r="W51" s="68"/>
      <c r="X51" s="68"/>
      <c r="Y51" s="68"/>
      <c r="Z51" s="68"/>
    </row>
    <row r="52" spans="1:26" x14ac:dyDescent="0.25">
      <c r="G52" s="68">
        <f>G48-G51</f>
        <v>-880905.69300997211</v>
      </c>
      <c r="H52" s="68">
        <f t="shared" ref="H52:T52" si="13">H48-H51</f>
        <v>-880249.31659413618</v>
      </c>
      <c r="I52" s="68">
        <f t="shared" si="13"/>
        <v>-879596.94017830025</v>
      </c>
      <c r="J52" s="68">
        <f t="shared" si="13"/>
        <v>-882556.56376246456</v>
      </c>
      <c r="K52" s="68">
        <f t="shared" si="13"/>
        <v>-937654.18734662887</v>
      </c>
      <c r="L52" s="68">
        <f t="shared" si="13"/>
        <v>-936935.81093079294</v>
      </c>
      <c r="M52" s="68">
        <f t="shared" si="13"/>
        <v>-936635.43451495725</v>
      </c>
      <c r="N52" s="68">
        <f t="shared" si="13"/>
        <v>-936378.05809912132</v>
      </c>
      <c r="O52" s="68">
        <f t="shared" si="13"/>
        <v>-935950.68168328609</v>
      </c>
      <c r="P52" s="68">
        <f t="shared" si="13"/>
        <v>-967523.3052674504</v>
      </c>
      <c r="Q52" s="68">
        <f t="shared" si="13"/>
        <v>-966841.92885161447</v>
      </c>
      <c r="R52" s="68">
        <f t="shared" si="13"/>
        <v>-966428.55243577878</v>
      </c>
      <c r="S52" s="68">
        <f t="shared" si="13"/>
        <v>-1141790.1760199431</v>
      </c>
      <c r="T52" s="68">
        <f t="shared" si="13"/>
        <v>-942265.12682264973</v>
      </c>
      <c r="U52" s="68"/>
      <c r="V52" s="68"/>
      <c r="W52" s="68"/>
      <c r="X52" s="68"/>
      <c r="Y52" s="68"/>
      <c r="Z52" s="68"/>
    </row>
    <row r="53" spans="1:26" x14ac:dyDescent="0.25">
      <c r="C53" s="13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73"/>
    </row>
    <row r="54" spans="1:26" x14ac:dyDescent="0.25">
      <c r="C54" s="13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73"/>
    </row>
    <row r="55" spans="1:26" x14ac:dyDescent="0.25">
      <c r="C55" s="13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73"/>
    </row>
    <row r="57" spans="1:26" ht="15.75" thickBot="1" x14ac:dyDescent="0.3">
      <c r="A57" s="80"/>
      <c r="B57" s="80"/>
      <c r="C57" s="80"/>
      <c r="D57" s="80"/>
      <c r="E57" s="80"/>
      <c r="F57" s="80"/>
      <c r="G57" s="81">
        <f t="shared" ref="G57:S57" si="14">+G5</f>
        <v>44909</v>
      </c>
      <c r="H57" s="81">
        <f t="shared" si="14"/>
        <v>44939</v>
      </c>
      <c r="I57" s="81">
        <f t="shared" si="14"/>
        <v>44969</v>
      </c>
      <c r="J57" s="81">
        <f t="shared" si="14"/>
        <v>44999</v>
      </c>
      <c r="K57" s="81">
        <f t="shared" si="14"/>
        <v>45029</v>
      </c>
      <c r="L57" s="81">
        <f t="shared" si="14"/>
        <v>45059</v>
      </c>
      <c r="M57" s="81">
        <f t="shared" si="14"/>
        <v>45089</v>
      </c>
      <c r="N57" s="81">
        <f t="shared" si="14"/>
        <v>45119</v>
      </c>
      <c r="O57" s="81">
        <f t="shared" si="14"/>
        <v>45149</v>
      </c>
      <c r="P57" s="81">
        <f t="shared" si="14"/>
        <v>45179</v>
      </c>
      <c r="Q57" s="81">
        <f t="shared" si="14"/>
        <v>45209</v>
      </c>
      <c r="R57" s="81">
        <f t="shared" si="14"/>
        <v>45239</v>
      </c>
      <c r="S57" s="81">
        <f t="shared" si="14"/>
        <v>45269</v>
      </c>
      <c r="T57" s="80" t="s">
        <v>409</v>
      </c>
      <c r="U57" s="82"/>
    </row>
    <row r="58" spans="1:26" x14ac:dyDescent="0.25">
      <c r="A58" s="82"/>
      <c r="B58" s="83" t="s">
        <v>410</v>
      </c>
      <c r="C58" s="84" t="s">
        <v>411</v>
      </c>
      <c r="D58" s="85">
        <f>'[1]Common Plant Allocation Factors'!E11</f>
        <v>0.40075371178398028</v>
      </c>
      <c r="E58" s="84"/>
      <c r="F58" s="84"/>
      <c r="G58" s="86">
        <f t="shared" ref="G58:S58" si="15">(G$26)*$D58</f>
        <v>4885590.4840893773</v>
      </c>
      <c r="H58" s="86">
        <f t="shared" si="15"/>
        <v>4885590.4840893773</v>
      </c>
      <c r="I58" s="86">
        <f t="shared" si="15"/>
        <v>4885590.4840893773</v>
      </c>
      <c r="J58" s="86">
        <f t="shared" si="15"/>
        <v>4885590.4840893773</v>
      </c>
      <c r="K58" s="86">
        <f t="shared" si="15"/>
        <v>4885590.4840893773</v>
      </c>
      <c r="L58" s="86">
        <f t="shared" si="15"/>
        <v>4885590.4840893773</v>
      </c>
      <c r="M58" s="86">
        <f t="shared" si="15"/>
        <v>4885590.4840893773</v>
      </c>
      <c r="N58" s="86">
        <f t="shared" si="15"/>
        <v>4885590.4840893773</v>
      </c>
      <c r="O58" s="86">
        <f t="shared" si="15"/>
        <v>4885590.4840893773</v>
      </c>
      <c r="P58" s="86">
        <f t="shared" si="15"/>
        <v>4885590.4840893773</v>
      </c>
      <c r="Q58" s="86">
        <f t="shared" si="15"/>
        <v>4885590.4840893773</v>
      </c>
      <c r="R58" s="86">
        <f t="shared" si="15"/>
        <v>4885590.4840893773</v>
      </c>
      <c r="S58" s="86">
        <f t="shared" si="15"/>
        <v>4885590.4840893773</v>
      </c>
      <c r="T58" s="87"/>
      <c r="U58" s="82"/>
    </row>
    <row r="59" spans="1:26" x14ac:dyDescent="0.25">
      <c r="A59" s="82"/>
      <c r="B59" s="88"/>
      <c r="C59" s="89"/>
      <c r="D59" s="90"/>
      <c r="E59" s="89" t="s">
        <v>381</v>
      </c>
      <c r="F59" s="89"/>
      <c r="G59" s="91">
        <f>G58</f>
        <v>4885590.4840893773</v>
      </c>
      <c r="H59" s="91">
        <f t="shared" ref="H59:S59" si="16">H58</f>
        <v>4885590.4840893773</v>
      </c>
      <c r="I59" s="91">
        <f t="shared" si="16"/>
        <v>4885590.4840893773</v>
      </c>
      <c r="J59" s="91">
        <f t="shared" si="16"/>
        <v>4885590.4840893773</v>
      </c>
      <c r="K59" s="91">
        <f t="shared" si="16"/>
        <v>4885590.4840893773</v>
      </c>
      <c r="L59" s="91">
        <f t="shared" si="16"/>
        <v>4885590.4840893773</v>
      </c>
      <c r="M59" s="91">
        <f t="shared" si="16"/>
        <v>4885590.4840893773</v>
      </c>
      <c r="N59" s="91">
        <f t="shared" si="16"/>
        <v>4885590.4840893773</v>
      </c>
      <c r="O59" s="91">
        <f t="shared" si="16"/>
        <v>4885590.4840893773</v>
      </c>
      <c r="P59" s="91">
        <f t="shared" si="16"/>
        <v>4885590.4840893773</v>
      </c>
      <c r="Q59" s="91">
        <f t="shared" si="16"/>
        <v>4885590.4840893773</v>
      </c>
      <c r="R59" s="91">
        <f t="shared" si="16"/>
        <v>4885590.4840893773</v>
      </c>
      <c r="S59" s="91">
        <f t="shared" si="16"/>
        <v>4885590.4840893773</v>
      </c>
      <c r="T59" s="92">
        <f>SUM(G59:S59)/13</f>
        <v>4885590.4840893764</v>
      </c>
      <c r="U59" s="82"/>
    </row>
    <row r="60" spans="1:26" x14ac:dyDescent="0.25">
      <c r="A60" s="82"/>
      <c r="B60" s="88"/>
      <c r="C60" s="89"/>
      <c r="D60" s="90"/>
      <c r="E60" s="89"/>
      <c r="F60" s="89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2"/>
      <c r="U60" s="82"/>
    </row>
    <row r="61" spans="1:26" x14ac:dyDescent="0.25">
      <c r="A61" s="82"/>
      <c r="B61" s="88"/>
      <c r="C61" s="89" t="s">
        <v>412</v>
      </c>
      <c r="D61" s="90">
        <f>D58</f>
        <v>0.40075371178398028</v>
      </c>
      <c r="E61" s="89"/>
      <c r="F61" s="89"/>
      <c r="G61" s="79">
        <f t="shared" ref="G61:S61" si="17">G$8*$D61</f>
        <v>0</v>
      </c>
      <c r="H61" s="79">
        <f t="shared" si="17"/>
        <v>0</v>
      </c>
      <c r="I61" s="79">
        <f t="shared" si="17"/>
        <v>0</v>
      </c>
      <c r="J61" s="79">
        <f t="shared" si="17"/>
        <v>0</v>
      </c>
      <c r="K61" s="79">
        <f t="shared" si="17"/>
        <v>1369.7761868776447</v>
      </c>
      <c r="L61" s="79">
        <f t="shared" si="17"/>
        <v>1369.7761868776447</v>
      </c>
      <c r="M61" s="79">
        <f t="shared" si="17"/>
        <v>0</v>
      </c>
      <c r="N61" s="79">
        <f t="shared" si="17"/>
        <v>0</v>
      </c>
      <c r="O61" s="79">
        <f t="shared" si="17"/>
        <v>0</v>
      </c>
      <c r="P61" s="79">
        <f t="shared" si="17"/>
        <v>546.62806287334911</v>
      </c>
      <c r="Q61" s="79">
        <f t="shared" si="17"/>
        <v>0</v>
      </c>
      <c r="R61" s="79">
        <f t="shared" si="17"/>
        <v>0</v>
      </c>
      <c r="S61" s="79">
        <f t="shared" si="17"/>
        <v>0</v>
      </c>
      <c r="T61" s="92"/>
      <c r="U61" s="82"/>
    </row>
    <row r="62" spans="1:26" x14ac:dyDescent="0.25">
      <c r="A62" s="82"/>
      <c r="B62" s="88"/>
      <c r="C62" s="89"/>
      <c r="D62" s="90"/>
      <c r="E62" s="89" t="s">
        <v>69</v>
      </c>
      <c r="F62" s="89"/>
      <c r="G62" s="91">
        <f>G61</f>
        <v>0</v>
      </c>
      <c r="H62" s="91">
        <f t="shared" ref="H62:S62" si="18">H61</f>
        <v>0</v>
      </c>
      <c r="I62" s="91">
        <f t="shared" si="18"/>
        <v>0</v>
      </c>
      <c r="J62" s="91">
        <f t="shared" si="18"/>
        <v>0</v>
      </c>
      <c r="K62" s="91">
        <f t="shared" si="18"/>
        <v>1369.7761868776447</v>
      </c>
      <c r="L62" s="91">
        <f t="shared" si="18"/>
        <v>1369.7761868776447</v>
      </c>
      <c r="M62" s="91">
        <f t="shared" si="18"/>
        <v>0</v>
      </c>
      <c r="N62" s="91">
        <f t="shared" si="18"/>
        <v>0</v>
      </c>
      <c r="O62" s="91">
        <f t="shared" si="18"/>
        <v>0</v>
      </c>
      <c r="P62" s="91">
        <f t="shared" si="18"/>
        <v>546.62806287334911</v>
      </c>
      <c r="Q62" s="91">
        <f t="shared" si="18"/>
        <v>0</v>
      </c>
      <c r="R62" s="91">
        <f t="shared" si="18"/>
        <v>0</v>
      </c>
      <c r="S62" s="91">
        <f t="shared" si="18"/>
        <v>0</v>
      </c>
      <c r="T62" s="92">
        <f>SUM(G62:S62)/13</f>
        <v>252.78311050989529</v>
      </c>
      <c r="U62" s="82"/>
    </row>
    <row r="63" spans="1:26" x14ac:dyDescent="0.25">
      <c r="A63" s="82"/>
      <c r="B63" s="88"/>
      <c r="C63" s="93"/>
      <c r="D63" s="90"/>
      <c r="E63" s="89"/>
      <c r="F63" s="89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2"/>
      <c r="U63" s="82"/>
    </row>
    <row r="64" spans="1:26" x14ac:dyDescent="0.25">
      <c r="A64" s="82"/>
      <c r="B64" s="88"/>
      <c r="C64" s="89" t="s">
        <v>413</v>
      </c>
      <c r="D64" s="90">
        <f>D58</f>
        <v>0.40075371178398028</v>
      </c>
      <c r="E64" s="89"/>
      <c r="F64" s="89"/>
      <c r="G64" s="79">
        <f t="shared" ref="G64:S64" si="19">(G$48)*$D64</f>
        <v>-594029.48962947691</v>
      </c>
      <c r="H64" s="79">
        <f t="shared" si="19"/>
        <v>-613095.19661755639</v>
      </c>
      <c r="I64" s="79">
        <f t="shared" si="19"/>
        <v>-632160.90360563574</v>
      </c>
      <c r="J64" s="79">
        <f t="shared" si="19"/>
        <v>-651226.61059371533</v>
      </c>
      <c r="K64" s="79">
        <f t="shared" si="19"/>
        <v>-670292.31758179481</v>
      </c>
      <c r="L64" s="79">
        <f t="shared" si="19"/>
        <v>-689358.02456987428</v>
      </c>
      <c r="M64" s="79">
        <f t="shared" si="19"/>
        <v>-708423.73155795387</v>
      </c>
      <c r="N64" s="79">
        <f t="shared" si="19"/>
        <v>-727489.43854603323</v>
      </c>
      <c r="O64" s="79">
        <f t="shared" si="19"/>
        <v>-746555.14553411305</v>
      </c>
      <c r="P64" s="79">
        <f t="shared" si="19"/>
        <v>-765620.85252219252</v>
      </c>
      <c r="Q64" s="79">
        <f t="shared" si="19"/>
        <v>-784686.559510272</v>
      </c>
      <c r="R64" s="79">
        <f t="shared" si="19"/>
        <v>-803752.26649835147</v>
      </c>
      <c r="S64" s="79">
        <f t="shared" si="19"/>
        <v>-822817.97348643106</v>
      </c>
      <c r="T64" s="92"/>
      <c r="U64" s="82"/>
    </row>
    <row r="65" spans="1:21" x14ac:dyDescent="0.25">
      <c r="A65" s="82"/>
      <c r="B65" s="88"/>
      <c r="C65" s="89"/>
      <c r="D65" s="90"/>
      <c r="E65" s="89" t="s">
        <v>396</v>
      </c>
      <c r="F65" s="89"/>
      <c r="G65" s="91">
        <f>G64</f>
        <v>-594029.48962947691</v>
      </c>
      <c r="H65" s="91">
        <f t="shared" ref="H65:S65" si="20">H64</f>
        <v>-613095.19661755639</v>
      </c>
      <c r="I65" s="91">
        <f t="shared" si="20"/>
        <v>-632160.90360563574</v>
      </c>
      <c r="J65" s="91">
        <f t="shared" si="20"/>
        <v>-651226.61059371533</v>
      </c>
      <c r="K65" s="91">
        <f t="shared" si="20"/>
        <v>-670292.31758179481</v>
      </c>
      <c r="L65" s="91">
        <f t="shared" si="20"/>
        <v>-689358.02456987428</v>
      </c>
      <c r="M65" s="91">
        <f t="shared" si="20"/>
        <v>-708423.73155795387</v>
      </c>
      <c r="N65" s="91">
        <f t="shared" si="20"/>
        <v>-727489.43854603323</v>
      </c>
      <c r="O65" s="91">
        <f t="shared" si="20"/>
        <v>-746555.14553411305</v>
      </c>
      <c r="P65" s="91">
        <f t="shared" si="20"/>
        <v>-765620.85252219252</v>
      </c>
      <c r="Q65" s="91">
        <f t="shared" si="20"/>
        <v>-784686.559510272</v>
      </c>
      <c r="R65" s="91">
        <f t="shared" si="20"/>
        <v>-803752.26649835147</v>
      </c>
      <c r="S65" s="91">
        <f t="shared" si="20"/>
        <v>-822817.97348643106</v>
      </c>
      <c r="T65" s="92">
        <f>SUM(G65:S65)/13</f>
        <v>-708423.73155795399</v>
      </c>
      <c r="U65" s="82"/>
    </row>
    <row r="66" spans="1:21" ht="15.75" thickBot="1" x14ac:dyDescent="0.3">
      <c r="A66" s="82"/>
      <c r="B66" s="94"/>
      <c r="C66" s="95"/>
      <c r="D66" s="96"/>
      <c r="E66" s="95"/>
      <c r="F66" s="95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2"/>
      <c r="U66" s="82"/>
    </row>
    <row r="67" spans="1:21" x14ac:dyDescent="0.25">
      <c r="A67" s="82"/>
      <c r="B67" s="83" t="s">
        <v>414</v>
      </c>
      <c r="C67" s="84" t="s">
        <v>411</v>
      </c>
      <c r="D67" s="85">
        <f>'[1]Common Plant Allocation Factors'!C11</f>
        <v>0.19493367655493263</v>
      </c>
      <c r="E67" s="84"/>
      <c r="F67" s="84"/>
      <c r="G67" s="86">
        <f t="shared" ref="G67:S67" si="21">(G$26)*$D67</f>
        <v>2376437.415802883</v>
      </c>
      <c r="H67" s="86">
        <f t="shared" si="21"/>
        <v>2376437.415802883</v>
      </c>
      <c r="I67" s="86">
        <f t="shared" si="21"/>
        <v>2376437.415802883</v>
      </c>
      <c r="J67" s="86">
        <f t="shared" si="21"/>
        <v>2376437.415802883</v>
      </c>
      <c r="K67" s="86">
        <f t="shared" si="21"/>
        <v>2376437.415802883</v>
      </c>
      <c r="L67" s="86">
        <f t="shared" si="21"/>
        <v>2376437.415802883</v>
      </c>
      <c r="M67" s="86">
        <f t="shared" si="21"/>
        <v>2376437.415802883</v>
      </c>
      <c r="N67" s="86">
        <f t="shared" si="21"/>
        <v>2376437.415802883</v>
      </c>
      <c r="O67" s="86">
        <f t="shared" si="21"/>
        <v>2376437.415802883</v>
      </c>
      <c r="P67" s="86">
        <f t="shared" si="21"/>
        <v>2376437.415802883</v>
      </c>
      <c r="Q67" s="86">
        <f t="shared" si="21"/>
        <v>2376437.415802883</v>
      </c>
      <c r="R67" s="86">
        <f t="shared" si="21"/>
        <v>2376437.415802883</v>
      </c>
      <c r="S67" s="86">
        <f t="shared" si="21"/>
        <v>2376437.415802883</v>
      </c>
      <c r="T67" s="87"/>
      <c r="U67" s="82"/>
    </row>
    <row r="68" spans="1:21" x14ac:dyDescent="0.25">
      <c r="A68" s="82"/>
      <c r="B68" s="88"/>
      <c r="C68" s="89"/>
      <c r="D68" s="90"/>
      <c r="E68" s="89" t="s">
        <v>381</v>
      </c>
      <c r="F68" s="89"/>
      <c r="G68" s="91">
        <f>G67</f>
        <v>2376437.415802883</v>
      </c>
      <c r="H68" s="91">
        <f t="shared" ref="H68:S68" si="22">H67</f>
        <v>2376437.415802883</v>
      </c>
      <c r="I68" s="91">
        <f t="shared" si="22"/>
        <v>2376437.415802883</v>
      </c>
      <c r="J68" s="91">
        <f t="shared" si="22"/>
        <v>2376437.415802883</v>
      </c>
      <c r="K68" s="91">
        <f t="shared" si="22"/>
        <v>2376437.415802883</v>
      </c>
      <c r="L68" s="91">
        <f t="shared" si="22"/>
        <v>2376437.415802883</v>
      </c>
      <c r="M68" s="91">
        <f t="shared" si="22"/>
        <v>2376437.415802883</v>
      </c>
      <c r="N68" s="91">
        <f t="shared" si="22"/>
        <v>2376437.415802883</v>
      </c>
      <c r="O68" s="91">
        <f t="shared" si="22"/>
        <v>2376437.415802883</v>
      </c>
      <c r="P68" s="91">
        <f t="shared" si="22"/>
        <v>2376437.415802883</v>
      </c>
      <c r="Q68" s="91">
        <f t="shared" si="22"/>
        <v>2376437.415802883</v>
      </c>
      <c r="R68" s="91">
        <f t="shared" si="22"/>
        <v>2376437.415802883</v>
      </c>
      <c r="S68" s="91">
        <f t="shared" si="22"/>
        <v>2376437.415802883</v>
      </c>
      <c r="T68" s="92">
        <f>SUM(G68:S68)/13</f>
        <v>2376437.4158028821</v>
      </c>
      <c r="U68" s="82"/>
    </row>
    <row r="69" spans="1:21" x14ac:dyDescent="0.25">
      <c r="A69" s="82"/>
      <c r="B69" s="88"/>
      <c r="C69" s="89"/>
      <c r="D69" s="90"/>
      <c r="E69" s="89"/>
      <c r="F69" s="89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2"/>
      <c r="U69" s="82"/>
    </row>
    <row r="70" spans="1:21" x14ac:dyDescent="0.25">
      <c r="A70" s="82"/>
      <c r="B70" s="88"/>
      <c r="C70" s="89" t="s">
        <v>412</v>
      </c>
      <c r="D70" s="90">
        <f>D67</f>
        <v>0.19493367655493263</v>
      </c>
      <c r="E70" s="89"/>
      <c r="F70" s="89"/>
      <c r="G70" s="79">
        <f t="shared" ref="G70:S70" si="23">G$8*$D70</f>
        <v>0</v>
      </c>
      <c r="H70" s="79">
        <f t="shared" si="23"/>
        <v>0</v>
      </c>
      <c r="I70" s="79">
        <f t="shared" si="23"/>
        <v>0</v>
      </c>
      <c r="J70" s="79">
        <f t="shared" si="23"/>
        <v>0</v>
      </c>
      <c r="K70" s="79">
        <f t="shared" si="23"/>
        <v>666.28330646475968</v>
      </c>
      <c r="L70" s="79">
        <f t="shared" si="23"/>
        <v>666.28330646475968</v>
      </c>
      <c r="M70" s="79">
        <f t="shared" si="23"/>
        <v>0</v>
      </c>
      <c r="N70" s="79">
        <f t="shared" si="23"/>
        <v>0</v>
      </c>
      <c r="O70" s="79">
        <f t="shared" si="23"/>
        <v>0</v>
      </c>
      <c r="P70" s="79">
        <f t="shared" si="23"/>
        <v>265.88953482092808</v>
      </c>
      <c r="Q70" s="79">
        <f t="shared" si="23"/>
        <v>0</v>
      </c>
      <c r="R70" s="79">
        <f t="shared" si="23"/>
        <v>0</v>
      </c>
      <c r="S70" s="79">
        <f t="shared" si="23"/>
        <v>0</v>
      </c>
      <c r="T70" s="92"/>
      <c r="U70" s="82"/>
    </row>
    <row r="71" spans="1:21" x14ac:dyDescent="0.25">
      <c r="A71" s="82"/>
      <c r="B71" s="88"/>
      <c r="C71" s="89"/>
      <c r="D71" s="90"/>
      <c r="E71" s="89" t="s">
        <v>69</v>
      </c>
      <c r="F71" s="89"/>
      <c r="G71" s="91">
        <f>G70</f>
        <v>0</v>
      </c>
      <c r="H71" s="91">
        <f t="shared" ref="H71:S71" si="24">H70</f>
        <v>0</v>
      </c>
      <c r="I71" s="91">
        <f t="shared" si="24"/>
        <v>0</v>
      </c>
      <c r="J71" s="91">
        <f t="shared" si="24"/>
        <v>0</v>
      </c>
      <c r="K71" s="91">
        <f t="shared" si="24"/>
        <v>666.28330646475968</v>
      </c>
      <c r="L71" s="91">
        <f t="shared" si="24"/>
        <v>666.28330646475968</v>
      </c>
      <c r="M71" s="91">
        <f t="shared" si="24"/>
        <v>0</v>
      </c>
      <c r="N71" s="91">
        <f t="shared" si="24"/>
        <v>0</v>
      </c>
      <c r="O71" s="91">
        <f t="shared" si="24"/>
        <v>0</v>
      </c>
      <c r="P71" s="91">
        <f t="shared" si="24"/>
        <v>265.88953482092808</v>
      </c>
      <c r="Q71" s="91">
        <f t="shared" si="24"/>
        <v>0</v>
      </c>
      <c r="R71" s="91">
        <f t="shared" si="24"/>
        <v>0</v>
      </c>
      <c r="S71" s="91">
        <f t="shared" si="24"/>
        <v>0</v>
      </c>
      <c r="T71" s="92">
        <f>SUM(G71:S71)/13</f>
        <v>122.95816521157288</v>
      </c>
      <c r="U71" s="82"/>
    </row>
    <row r="72" spans="1:21" x14ac:dyDescent="0.25">
      <c r="A72" s="82"/>
      <c r="B72" s="88"/>
      <c r="C72" s="89"/>
      <c r="D72" s="90"/>
      <c r="E72" s="89"/>
      <c r="F72" s="89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2"/>
      <c r="U72" s="82"/>
    </row>
    <row r="73" spans="1:21" x14ac:dyDescent="0.25">
      <c r="A73" s="82"/>
      <c r="B73" s="88"/>
      <c r="C73" s="93" t="s">
        <v>415</v>
      </c>
      <c r="D73" s="90">
        <f>+D67</f>
        <v>0.19493367655493263</v>
      </c>
      <c r="E73" s="89"/>
      <c r="F73" s="89"/>
      <c r="G73" s="79">
        <f>G$48*$D73</f>
        <v>-288946.42517482728</v>
      </c>
      <c r="H73" s="79">
        <f>H$48*$D73</f>
        <v>-298220.32146080537</v>
      </c>
      <c r="I73" s="79">
        <f t="shared" ref="I73:S73" si="25">I$48*$D73</f>
        <v>-307494.21774678351</v>
      </c>
      <c r="J73" s="79">
        <f t="shared" si="25"/>
        <v>-316768.11403276166</v>
      </c>
      <c r="K73" s="79">
        <f t="shared" si="25"/>
        <v>-326042.01031873981</v>
      </c>
      <c r="L73" s="79">
        <f t="shared" si="25"/>
        <v>-335315.90660471795</v>
      </c>
      <c r="M73" s="79">
        <f t="shared" si="25"/>
        <v>-344589.8028906961</v>
      </c>
      <c r="N73" s="79">
        <f t="shared" si="25"/>
        <v>-353863.69917667418</v>
      </c>
      <c r="O73" s="79">
        <f t="shared" si="25"/>
        <v>-363137.59546265245</v>
      </c>
      <c r="P73" s="79">
        <f t="shared" si="25"/>
        <v>-372411.49174863059</v>
      </c>
      <c r="Q73" s="79">
        <f t="shared" si="25"/>
        <v>-381685.38803460868</v>
      </c>
      <c r="R73" s="79">
        <f t="shared" si="25"/>
        <v>-390959.28432058683</v>
      </c>
      <c r="S73" s="79">
        <f t="shared" si="25"/>
        <v>-400233.18060656503</v>
      </c>
      <c r="T73" s="92"/>
      <c r="U73" s="82"/>
    </row>
    <row r="74" spans="1:21" x14ac:dyDescent="0.25">
      <c r="A74" s="82"/>
      <c r="B74" s="88"/>
      <c r="C74" s="89"/>
      <c r="D74" s="90"/>
      <c r="E74" s="89" t="s">
        <v>396</v>
      </c>
      <c r="F74" s="89"/>
      <c r="G74" s="91">
        <f>+G73</f>
        <v>-288946.42517482728</v>
      </c>
      <c r="H74" s="91">
        <f t="shared" ref="H74:S74" si="26">+H73</f>
        <v>-298220.32146080537</v>
      </c>
      <c r="I74" s="91">
        <f t="shared" si="26"/>
        <v>-307494.21774678351</v>
      </c>
      <c r="J74" s="91">
        <f t="shared" si="26"/>
        <v>-316768.11403276166</v>
      </c>
      <c r="K74" s="91">
        <f t="shared" si="26"/>
        <v>-326042.01031873981</v>
      </c>
      <c r="L74" s="91">
        <f t="shared" si="26"/>
        <v>-335315.90660471795</v>
      </c>
      <c r="M74" s="91">
        <f t="shared" si="26"/>
        <v>-344589.8028906961</v>
      </c>
      <c r="N74" s="91">
        <f t="shared" si="26"/>
        <v>-353863.69917667418</v>
      </c>
      <c r="O74" s="91">
        <f t="shared" si="26"/>
        <v>-363137.59546265245</v>
      </c>
      <c r="P74" s="91">
        <f t="shared" si="26"/>
        <v>-372411.49174863059</v>
      </c>
      <c r="Q74" s="91">
        <f t="shared" si="26"/>
        <v>-381685.38803460868</v>
      </c>
      <c r="R74" s="91">
        <f t="shared" si="26"/>
        <v>-390959.28432058683</v>
      </c>
      <c r="S74" s="91">
        <f t="shared" si="26"/>
        <v>-400233.18060656503</v>
      </c>
      <c r="T74" s="92">
        <f>SUM(G74:S74)/13</f>
        <v>-344589.80289069616</v>
      </c>
      <c r="U74" s="82"/>
    </row>
    <row r="75" spans="1:21" ht="15.75" thickBot="1" x14ac:dyDescent="0.3">
      <c r="A75" s="82"/>
      <c r="B75" s="94"/>
      <c r="C75" s="95"/>
      <c r="D75" s="96"/>
      <c r="E75" s="95"/>
      <c r="F75" s="95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2"/>
      <c r="U75" s="82"/>
    </row>
    <row r="76" spans="1:21" x14ac:dyDescent="0.25">
      <c r="A76" s="82"/>
      <c r="B76" s="83" t="s">
        <v>416</v>
      </c>
      <c r="C76" s="84" t="s">
        <v>411</v>
      </c>
      <c r="D76" s="85">
        <f>'[1]Common Plant Allocation Factors'!B11</f>
        <v>0.17538138419273502</v>
      </c>
      <c r="E76" s="84"/>
      <c r="F76" s="84"/>
      <c r="G76" s="86">
        <f t="shared" ref="G76:S76" si="27">(G$26)*$D76</f>
        <v>2138075.3228314845</v>
      </c>
      <c r="H76" s="86">
        <f t="shared" si="27"/>
        <v>2138075.3228314845</v>
      </c>
      <c r="I76" s="86">
        <f t="shared" si="27"/>
        <v>2138075.3228314845</v>
      </c>
      <c r="J76" s="86">
        <f t="shared" si="27"/>
        <v>2138075.3228314845</v>
      </c>
      <c r="K76" s="86">
        <f t="shared" si="27"/>
        <v>2138075.3228314845</v>
      </c>
      <c r="L76" s="86">
        <f t="shared" si="27"/>
        <v>2138075.3228314845</v>
      </c>
      <c r="M76" s="86">
        <f t="shared" si="27"/>
        <v>2138075.3228314845</v>
      </c>
      <c r="N76" s="86">
        <f t="shared" si="27"/>
        <v>2138075.3228314845</v>
      </c>
      <c r="O76" s="86">
        <f t="shared" si="27"/>
        <v>2138075.3228314845</v>
      </c>
      <c r="P76" s="86">
        <f t="shared" si="27"/>
        <v>2138075.3228314845</v>
      </c>
      <c r="Q76" s="86">
        <f t="shared" si="27"/>
        <v>2138075.3228314845</v>
      </c>
      <c r="R76" s="86">
        <f t="shared" si="27"/>
        <v>2138075.3228314845</v>
      </c>
      <c r="S76" s="86">
        <f t="shared" si="27"/>
        <v>2138075.3228314845</v>
      </c>
      <c r="T76" s="87"/>
      <c r="U76" s="82"/>
    </row>
    <row r="77" spans="1:21" x14ac:dyDescent="0.25">
      <c r="A77" s="82"/>
      <c r="B77" s="88"/>
      <c r="C77" s="89"/>
      <c r="D77" s="90"/>
      <c r="E77" s="89" t="s">
        <v>381</v>
      </c>
      <c r="F77" s="89"/>
      <c r="G77" s="91">
        <f>G76</f>
        <v>2138075.3228314845</v>
      </c>
      <c r="H77" s="91">
        <f t="shared" ref="H77:S77" si="28">H76</f>
        <v>2138075.3228314845</v>
      </c>
      <c r="I77" s="91">
        <f t="shared" si="28"/>
        <v>2138075.3228314845</v>
      </c>
      <c r="J77" s="91">
        <f t="shared" si="28"/>
        <v>2138075.3228314845</v>
      </c>
      <c r="K77" s="91">
        <f t="shared" si="28"/>
        <v>2138075.3228314845</v>
      </c>
      <c r="L77" s="91">
        <f t="shared" si="28"/>
        <v>2138075.3228314845</v>
      </c>
      <c r="M77" s="91">
        <f t="shared" si="28"/>
        <v>2138075.3228314845</v>
      </c>
      <c r="N77" s="91">
        <f t="shared" si="28"/>
        <v>2138075.3228314845</v>
      </c>
      <c r="O77" s="91">
        <f t="shared" si="28"/>
        <v>2138075.3228314845</v>
      </c>
      <c r="P77" s="91">
        <f t="shared" si="28"/>
        <v>2138075.3228314845</v>
      </c>
      <c r="Q77" s="91">
        <f t="shared" si="28"/>
        <v>2138075.3228314845</v>
      </c>
      <c r="R77" s="91">
        <f t="shared" si="28"/>
        <v>2138075.3228314845</v>
      </c>
      <c r="S77" s="91">
        <f t="shared" si="28"/>
        <v>2138075.3228314845</v>
      </c>
      <c r="T77" s="92">
        <f>SUM(G77:S77)/13</f>
        <v>2138075.322831485</v>
      </c>
      <c r="U77" s="82"/>
    </row>
    <row r="78" spans="1:21" x14ac:dyDescent="0.25">
      <c r="A78" s="82"/>
      <c r="B78" s="88"/>
      <c r="C78" s="89"/>
      <c r="D78" s="90"/>
      <c r="E78" s="89"/>
      <c r="F78" s="89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2"/>
      <c r="U78" s="82"/>
    </row>
    <row r="79" spans="1:21" x14ac:dyDescent="0.25">
      <c r="A79" s="82"/>
      <c r="B79" s="88"/>
      <c r="C79" s="89" t="s">
        <v>412</v>
      </c>
      <c r="D79" s="90">
        <f>D76</f>
        <v>0.17538138419273502</v>
      </c>
      <c r="E79" s="89"/>
      <c r="F79" s="89"/>
      <c r="G79" s="79">
        <f>G$8*$D79</f>
        <v>0</v>
      </c>
      <c r="H79" s="79">
        <f t="shared" ref="H79:S79" si="29">H$8*$D79</f>
        <v>0</v>
      </c>
      <c r="I79" s="79">
        <f t="shared" si="29"/>
        <v>0</v>
      </c>
      <c r="J79" s="79">
        <f t="shared" si="29"/>
        <v>0</v>
      </c>
      <c r="K79" s="79">
        <f t="shared" si="29"/>
        <v>599.45357117076833</v>
      </c>
      <c r="L79" s="79">
        <f t="shared" si="29"/>
        <v>599.45357117076833</v>
      </c>
      <c r="M79" s="79">
        <f t="shared" si="29"/>
        <v>0</v>
      </c>
      <c r="N79" s="79">
        <f t="shared" si="29"/>
        <v>0</v>
      </c>
      <c r="O79" s="79">
        <f t="shared" si="29"/>
        <v>0</v>
      </c>
      <c r="P79" s="79">
        <f t="shared" si="29"/>
        <v>239.22020803889058</v>
      </c>
      <c r="Q79" s="79">
        <f t="shared" si="29"/>
        <v>0</v>
      </c>
      <c r="R79" s="79">
        <f t="shared" si="29"/>
        <v>0</v>
      </c>
      <c r="S79" s="79">
        <f t="shared" si="29"/>
        <v>0</v>
      </c>
      <c r="T79" s="92"/>
      <c r="U79" s="82"/>
    </row>
    <row r="80" spans="1:21" x14ac:dyDescent="0.25">
      <c r="A80" s="82"/>
      <c r="B80" s="88"/>
      <c r="C80" s="89"/>
      <c r="D80" s="90"/>
      <c r="E80" s="89" t="s">
        <v>69</v>
      </c>
      <c r="F80" s="89"/>
      <c r="G80" s="91">
        <f>G79</f>
        <v>0</v>
      </c>
      <c r="H80" s="91">
        <f t="shared" ref="H80:S80" si="30">H79</f>
        <v>0</v>
      </c>
      <c r="I80" s="91">
        <f t="shared" si="30"/>
        <v>0</v>
      </c>
      <c r="J80" s="91">
        <f t="shared" si="30"/>
        <v>0</v>
      </c>
      <c r="K80" s="91">
        <f t="shared" si="30"/>
        <v>599.45357117076833</v>
      </c>
      <c r="L80" s="91">
        <f t="shared" si="30"/>
        <v>599.45357117076833</v>
      </c>
      <c r="M80" s="91">
        <f t="shared" si="30"/>
        <v>0</v>
      </c>
      <c r="N80" s="91">
        <f t="shared" si="30"/>
        <v>0</v>
      </c>
      <c r="O80" s="91">
        <f t="shared" si="30"/>
        <v>0</v>
      </c>
      <c r="P80" s="91">
        <f t="shared" si="30"/>
        <v>239.22020803889058</v>
      </c>
      <c r="Q80" s="91">
        <f t="shared" si="30"/>
        <v>0</v>
      </c>
      <c r="R80" s="91">
        <f t="shared" si="30"/>
        <v>0</v>
      </c>
      <c r="S80" s="91">
        <f t="shared" si="30"/>
        <v>0</v>
      </c>
      <c r="T80" s="92">
        <f>SUM(G80:S80)/13</f>
        <v>110.62518079849441</v>
      </c>
      <c r="U80" s="82"/>
    </row>
    <row r="81" spans="1:21" x14ac:dyDescent="0.25">
      <c r="A81" s="82"/>
      <c r="B81" s="88"/>
      <c r="C81" s="93"/>
      <c r="D81" s="90"/>
      <c r="E81" s="89"/>
      <c r="F81" s="89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2"/>
      <c r="U81" s="82"/>
    </row>
    <row r="82" spans="1:21" x14ac:dyDescent="0.25">
      <c r="A82" s="82"/>
      <c r="B82" s="88"/>
      <c r="C82" s="89" t="s">
        <v>413</v>
      </c>
      <c r="D82" s="90">
        <f>D76</f>
        <v>0.17538138419273502</v>
      </c>
      <c r="E82" s="89"/>
      <c r="F82" s="89"/>
      <c r="G82" s="79">
        <f>(G$48)*$D82</f>
        <v>-259964.43970225545</v>
      </c>
      <c r="H82" s="79">
        <f t="shared" ref="H82:S82" si="31">(H$48)*$D82</f>
        <v>-268308.14303889446</v>
      </c>
      <c r="I82" s="79">
        <f t="shared" si="31"/>
        <v>-276651.8463755335</v>
      </c>
      <c r="J82" s="79">
        <f t="shared" si="31"/>
        <v>-284995.54971217259</v>
      </c>
      <c r="K82" s="79">
        <f t="shared" si="31"/>
        <v>-293339.25304881163</v>
      </c>
      <c r="L82" s="79">
        <f t="shared" si="31"/>
        <v>-301682.95638545067</v>
      </c>
      <c r="M82" s="79">
        <f t="shared" si="31"/>
        <v>-310026.65972208977</v>
      </c>
      <c r="N82" s="79">
        <f t="shared" si="31"/>
        <v>-318370.36305872881</v>
      </c>
      <c r="O82" s="79">
        <f t="shared" si="31"/>
        <v>-326714.06639536796</v>
      </c>
      <c r="P82" s="79">
        <f t="shared" si="31"/>
        <v>-335057.769732007</v>
      </c>
      <c r="Q82" s="79">
        <f t="shared" si="31"/>
        <v>-343401.47306864604</v>
      </c>
      <c r="R82" s="79">
        <f t="shared" si="31"/>
        <v>-351745.17640528514</v>
      </c>
      <c r="S82" s="79">
        <f t="shared" si="31"/>
        <v>-360088.87974192417</v>
      </c>
      <c r="T82" s="92"/>
      <c r="U82" s="82"/>
    </row>
    <row r="83" spans="1:21" x14ac:dyDescent="0.25">
      <c r="A83" s="82"/>
      <c r="B83" s="88"/>
      <c r="C83" s="89"/>
      <c r="D83" s="90"/>
      <c r="E83" s="89" t="s">
        <v>396</v>
      </c>
      <c r="F83" s="89"/>
      <c r="G83" s="91">
        <f>G82</f>
        <v>-259964.43970225545</v>
      </c>
      <c r="H83" s="91">
        <f t="shared" ref="H83:S83" si="32">H82</f>
        <v>-268308.14303889446</v>
      </c>
      <c r="I83" s="91">
        <f t="shared" si="32"/>
        <v>-276651.8463755335</v>
      </c>
      <c r="J83" s="91">
        <f t="shared" si="32"/>
        <v>-284995.54971217259</v>
      </c>
      <c r="K83" s="91">
        <f t="shared" si="32"/>
        <v>-293339.25304881163</v>
      </c>
      <c r="L83" s="91">
        <f t="shared" si="32"/>
        <v>-301682.95638545067</v>
      </c>
      <c r="M83" s="91">
        <f t="shared" si="32"/>
        <v>-310026.65972208977</v>
      </c>
      <c r="N83" s="91">
        <f t="shared" si="32"/>
        <v>-318370.36305872881</v>
      </c>
      <c r="O83" s="91">
        <f t="shared" si="32"/>
        <v>-326714.06639536796</v>
      </c>
      <c r="P83" s="91">
        <f t="shared" si="32"/>
        <v>-335057.769732007</v>
      </c>
      <c r="Q83" s="91">
        <f t="shared" si="32"/>
        <v>-343401.47306864604</v>
      </c>
      <c r="R83" s="91">
        <f t="shared" si="32"/>
        <v>-351745.17640528514</v>
      </c>
      <c r="S83" s="91">
        <f t="shared" si="32"/>
        <v>-360088.87974192417</v>
      </c>
      <c r="T83" s="92">
        <f>SUM(G83:S83)/13</f>
        <v>-310026.65972208977</v>
      </c>
      <c r="U83" s="82"/>
    </row>
    <row r="84" spans="1:21" ht="15.75" thickBot="1" x14ac:dyDescent="0.3">
      <c r="A84" s="82"/>
      <c r="B84" s="94"/>
      <c r="C84" s="95"/>
      <c r="D84" s="96"/>
      <c r="E84" s="95"/>
      <c r="F84" s="95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2"/>
      <c r="U84" s="82"/>
    </row>
    <row r="85" spans="1:21" x14ac:dyDescent="0.25">
      <c r="A85" s="82"/>
      <c r="B85" s="83" t="s">
        <v>417</v>
      </c>
      <c r="C85" s="84" t="s">
        <v>411</v>
      </c>
      <c r="D85" s="85">
        <f>'[1]Common Plant Allocation Factors'!D11</f>
        <v>-2.6963863219386323E-3</v>
      </c>
      <c r="E85" s="84"/>
      <c r="F85" s="84"/>
      <c r="G85" s="86">
        <f>(G$26)*$D85</f>
        <v>-32871.658997866165</v>
      </c>
      <c r="H85" s="86">
        <f t="shared" ref="H85:S85" si="33">(H$26)*$D85</f>
        <v>-32871.658997866165</v>
      </c>
      <c r="I85" s="86">
        <f t="shared" si="33"/>
        <v>-32871.658997866165</v>
      </c>
      <c r="J85" s="86">
        <f t="shared" si="33"/>
        <v>-32871.658997866165</v>
      </c>
      <c r="K85" s="86">
        <f t="shared" si="33"/>
        <v>-32871.658997866165</v>
      </c>
      <c r="L85" s="86">
        <f t="shared" si="33"/>
        <v>-32871.658997866165</v>
      </c>
      <c r="M85" s="86">
        <f t="shared" si="33"/>
        <v>-32871.658997866165</v>
      </c>
      <c r="N85" s="86">
        <f t="shared" si="33"/>
        <v>-32871.658997866165</v>
      </c>
      <c r="O85" s="86">
        <f t="shared" si="33"/>
        <v>-32871.658997866165</v>
      </c>
      <c r="P85" s="86">
        <f t="shared" si="33"/>
        <v>-32871.658997866165</v>
      </c>
      <c r="Q85" s="86">
        <f t="shared" si="33"/>
        <v>-32871.658997866165</v>
      </c>
      <c r="R85" s="86">
        <f t="shared" si="33"/>
        <v>-32871.658997866165</v>
      </c>
      <c r="S85" s="86">
        <f t="shared" si="33"/>
        <v>-32871.658997866165</v>
      </c>
      <c r="T85" s="87"/>
      <c r="U85" s="82"/>
    </row>
    <row r="86" spans="1:21" x14ac:dyDescent="0.25">
      <c r="A86" s="82"/>
      <c r="B86" s="88"/>
      <c r="C86" s="98" t="s">
        <v>418</v>
      </c>
      <c r="D86" s="90"/>
      <c r="E86" s="89" t="s">
        <v>381</v>
      </c>
      <c r="F86" s="89"/>
      <c r="G86" s="91">
        <f>G85</f>
        <v>-32871.658997866165</v>
      </c>
      <c r="H86" s="91">
        <f t="shared" ref="H86:S86" si="34">H85</f>
        <v>-32871.658997866165</v>
      </c>
      <c r="I86" s="91">
        <f t="shared" si="34"/>
        <v>-32871.658997866165</v>
      </c>
      <c r="J86" s="91">
        <f t="shared" si="34"/>
        <v>-32871.658997866165</v>
      </c>
      <c r="K86" s="91">
        <f t="shared" si="34"/>
        <v>-32871.658997866165</v>
      </c>
      <c r="L86" s="91">
        <f t="shared" si="34"/>
        <v>-32871.658997866165</v>
      </c>
      <c r="M86" s="91">
        <f t="shared" si="34"/>
        <v>-32871.658997866165</v>
      </c>
      <c r="N86" s="91">
        <f t="shared" si="34"/>
        <v>-32871.658997866165</v>
      </c>
      <c r="O86" s="91">
        <f t="shared" si="34"/>
        <v>-32871.658997866165</v>
      </c>
      <c r="P86" s="91">
        <f t="shared" si="34"/>
        <v>-32871.658997866165</v>
      </c>
      <c r="Q86" s="91">
        <f t="shared" si="34"/>
        <v>-32871.658997866165</v>
      </c>
      <c r="R86" s="91">
        <f t="shared" si="34"/>
        <v>-32871.658997866165</v>
      </c>
      <c r="S86" s="91">
        <f t="shared" si="34"/>
        <v>-32871.658997866165</v>
      </c>
      <c r="T86" s="92">
        <f>SUM(G86:S86)/13</f>
        <v>-32871.658997866158</v>
      </c>
      <c r="U86" s="82"/>
    </row>
    <row r="87" spans="1:21" x14ac:dyDescent="0.25">
      <c r="A87" s="82"/>
      <c r="B87" s="88"/>
      <c r="C87" s="89"/>
      <c r="D87" s="90"/>
      <c r="E87" s="89"/>
      <c r="F87" s="89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2"/>
      <c r="U87" s="82"/>
    </row>
    <row r="88" spans="1:21" x14ac:dyDescent="0.25">
      <c r="A88" s="82"/>
      <c r="B88" s="88"/>
      <c r="C88" s="89" t="s">
        <v>412</v>
      </c>
      <c r="D88" s="90">
        <f>D85</f>
        <v>-2.6963863219386323E-3</v>
      </c>
      <c r="E88" s="89"/>
      <c r="F88" s="89"/>
      <c r="G88" s="79">
        <f>G$8*$D88</f>
        <v>0</v>
      </c>
      <c r="H88" s="79">
        <f t="shared" ref="H88:S88" si="35">H$8*$D88</f>
        <v>0</v>
      </c>
      <c r="I88" s="79">
        <f t="shared" si="35"/>
        <v>0</v>
      </c>
      <c r="J88" s="79">
        <f t="shared" si="35"/>
        <v>0</v>
      </c>
      <c r="K88" s="79">
        <f t="shared" si="35"/>
        <v>-9.2162484483862457</v>
      </c>
      <c r="L88" s="79">
        <f t="shared" si="35"/>
        <v>-9.2162484483862457</v>
      </c>
      <c r="M88" s="79">
        <f t="shared" si="35"/>
        <v>0</v>
      </c>
      <c r="N88" s="79">
        <f t="shared" si="35"/>
        <v>0</v>
      </c>
      <c r="O88" s="79">
        <f t="shared" si="35"/>
        <v>0</v>
      </c>
      <c r="P88" s="79">
        <f t="shared" si="35"/>
        <v>-3.6778709431242946</v>
      </c>
      <c r="Q88" s="79">
        <f t="shared" si="35"/>
        <v>0</v>
      </c>
      <c r="R88" s="79">
        <f t="shared" si="35"/>
        <v>0</v>
      </c>
      <c r="S88" s="79">
        <f t="shared" si="35"/>
        <v>0</v>
      </c>
      <c r="T88" s="92"/>
      <c r="U88" s="82"/>
    </row>
    <row r="89" spans="1:21" x14ac:dyDescent="0.25">
      <c r="A89" s="82"/>
      <c r="B89" s="88"/>
      <c r="C89" s="89"/>
      <c r="D89" s="90"/>
      <c r="E89" s="89" t="s">
        <v>69</v>
      </c>
      <c r="F89" s="89"/>
      <c r="G89" s="91">
        <f>G88</f>
        <v>0</v>
      </c>
      <c r="H89" s="91">
        <f t="shared" ref="H89:S89" si="36">H88</f>
        <v>0</v>
      </c>
      <c r="I89" s="91">
        <f t="shared" si="36"/>
        <v>0</v>
      </c>
      <c r="J89" s="91">
        <f t="shared" si="36"/>
        <v>0</v>
      </c>
      <c r="K89" s="91">
        <f t="shared" si="36"/>
        <v>-9.2162484483862457</v>
      </c>
      <c r="L89" s="91">
        <f t="shared" si="36"/>
        <v>-9.2162484483862457</v>
      </c>
      <c r="M89" s="91">
        <f t="shared" si="36"/>
        <v>0</v>
      </c>
      <c r="N89" s="91">
        <f t="shared" si="36"/>
        <v>0</v>
      </c>
      <c r="O89" s="91">
        <f t="shared" si="36"/>
        <v>0</v>
      </c>
      <c r="P89" s="91">
        <f t="shared" si="36"/>
        <v>-3.6778709431242946</v>
      </c>
      <c r="Q89" s="91">
        <f t="shared" si="36"/>
        <v>0</v>
      </c>
      <c r="R89" s="91">
        <f t="shared" si="36"/>
        <v>0</v>
      </c>
      <c r="S89" s="91">
        <f t="shared" si="36"/>
        <v>0</v>
      </c>
      <c r="T89" s="92">
        <f>SUM(G89:S89)/13</f>
        <v>-1.7007975261459065</v>
      </c>
      <c r="U89" s="82"/>
    </row>
    <row r="90" spans="1:21" x14ac:dyDescent="0.25">
      <c r="A90" s="82"/>
      <c r="B90" s="88"/>
      <c r="C90" s="93"/>
      <c r="D90" s="90"/>
      <c r="E90" s="89"/>
      <c r="F90" s="89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2"/>
      <c r="U90" s="82"/>
    </row>
    <row r="91" spans="1:21" x14ac:dyDescent="0.25">
      <c r="A91" s="82"/>
      <c r="B91" s="88"/>
      <c r="C91" s="89" t="s">
        <v>413</v>
      </c>
      <c r="D91" s="90">
        <f>D85</f>
        <v>-2.6963863219386323E-3</v>
      </c>
      <c r="E91" s="89"/>
      <c r="F91" s="89"/>
      <c r="G91" s="79">
        <f>(G$48)*$D91</f>
        <v>3996.8013859058055</v>
      </c>
      <c r="H91" s="79">
        <f t="shared" ref="H91:S91" si="37">(H$48)*$D91</f>
        <v>4125.0809502095244</v>
      </c>
      <c r="I91" s="79">
        <f t="shared" si="37"/>
        <v>4253.3605145132442</v>
      </c>
      <c r="J91" s="79">
        <f t="shared" si="37"/>
        <v>4381.6400788169631</v>
      </c>
      <c r="K91" s="79">
        <f t="shared" si="37"/>
        <v>4509.9196431206828</v>
      </c>
      <c r="L91" s="79">
        <f t="shared" si="37"/>
        <v>4638.1992074244026</v>
      </c>
      <c r="M91" s="79">
        <f t="shared" si="37"/>
        <v>4766.4787717281215</v>
      </c>
      <c r="N91" s="79">
        <f t="shared" si="37"/>
        <v>4894.7583360318413</v>
      </c>
      <c r="O91" s="79">
        <f t="shared" si="37"/>
        <v>5023.037900335562</v>
      </c>
      <c r="P91" s="79">
        <f t="shared" si="37"/>
        <v>5151.3174646392818</v>
      </c>
      <c r="Q91" s="79">
        <f t="shared" si="37"/>
        <v>5279.5970289430006</v>
      </c>
      <c r="R91" s="79">
        <f t="shared" si="37"/>
        <v>5407.8765932467204</v>
      </c>
      <c r="S91" s="79">
        <f t="shared" si="37"/>
        <v>5536.1561575504402</v>
      </c>
      <c r="T91" s="92"/>
      <c r="U91" s="82"/>
    </row>
    <row r="92" spans="1:21" x14ac:dyDescent="0.25">
      <c r="A92" s="82"/>
      <c r="B92" s="88"/>
      <c r="C92" s="89"/>
      <c r="D92" s="90"/>
      <c r="E92" s="89" t="s">
        <v>396</v>
      </c>
      <c r="F92" s="89"/>
      <c r="G92" s="91">
        <f>G91</f>
        <v>3996.8013859058055</v>
      </c>
      <c r="H92" s="91">
        <f t="shared" ref="H92:S92" si="38">H91</f>
        <v>4125.0809502095244</v>
      </c>
      <c r="I92" s="91">
        <f t="shared" si="38"/>
        <v>4253.3605145132442</v>
      </c>
      <c r="J92" s="91">
        <f t="shared" si="38"/>
        <v>4381.6400788169631</v>
      </c>
      <c r="K92" s="91">
        <f t="shared" si="38"/>
        <v>4509.9196431206828</v>
      </c>
      <c r="L92" s="91">
        <f t="shared" si="38"/>
        <v>4638.1992074244026</v>
      </c>
      <c r="M92" s="91">
        <f t="shared" si="38"/>
        <v>4766.4787717281215</v>
      </c>
      <c r="N92" s="91">
        <f t="shared" si="38"/>
        <v>4894.7583360318413</v>
      </c>
      <c r="O92" s="91">
        <f t="shared" si="38"/>
        <v>5023.037900335562</v>
      </c>
      <c r="P92" s="91">
        <f t="shared" si="38"/>
        <v>5151.3174646392818</v>
      </c>
      <c r="Q92" s="91">
        <f t="shared" si="38"/>
        <v>5279.5970289430006</v>
      </c>
      <c r="R92" s="91">
        <f t="shared" si="38"/>
        <v>5407.8765932467204</v>
      </c>
      <c r="S92" s="91">
        <f t="shared" si="38"/>
        <v>5536.1561575504402</v>
      </c>
      <c r="T92" s="92">
        <f>SUM(G92:S92)/13</f>
        <v>4766.4787717281215</v>
      </c>
      <c r="U92" s="82"/>
    </row>
    <row r="93" spans="1:21" ht="15.75" thickBot="1" x14ac:dyDescent="0.3">
      <c r="A93" s="82"/>
      <c r="B93" s="94"/>
      <c r="C93" s="95"/>
      <c r="D93" s="96"/>
      <c r="E93" s="95"/>
      <c r="F93" s="95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2"/>
      <c r="U93" s="82"/>
    </row>
    <row r="94" spans="1:21" x14ac:dyDescent="0.25">
      <c r="A94" s="82"/>
      <c r="B94" s="83" t="s">
        <v>419</v>
      </c>
      <c r="C94" s="84" t="s">
        <v>411</v>
      </c>
      <c r="D94" s="85">
        <f>'[1]Common Plant Allocation Factors'!F11</f>
        <v>2.4706719004354946E-3</v>
      </c>
      <c r="E94" s="84"/>
      <c r="F94" s="84"/>
      <c r="G94" s="86">
        <f>(G$26)*$D94</f>
        <v>30119.973368035025</v>
      </c>
      <c r="H94" s="86">
        <f t="shared" ref="H94:S94" si="39">(H$26)*$D94</f>
        <v>30119.973368035025</v>
      </c>
      <c r="I94" s="86">
        <f t="shared" si="39"/>
        <v>30119.973368035025</v>
      </c>
      <c r="J94" s="86">
        <f t="shared" si="39"/>
        <v>30119.973368035025</v>
      </c>
      <c r="K94" s="86">
        <f t="shared" si="39"/>
        <v>30119.973368035025</v>
      </c>
      <c r="L94" s="86">
        <f t="shared" si="39"/>
        <v>30119.973368035025</v>
      </c>
      <c r="M94" s="86">
        <f t="shared" si="39"/>
        <v>30119.973368035025</v>
      </c>
      <c r="N94" s="86">
        <f t="shared" si="39"/>
        <v>30119.973368035025</v>
      </c>
      <c r="O94" s="86">
        <f t="shared" si="39"/>
        <v>30119.973368035025</v>
      </c>
      <c r="P94" s="86">
        <f t="shared" si="39"/>
        <v>30119.973368035025</v>
      </c>
      <c r="Q94" s="86">
        <f t="shared" si="39"/>
        <v>30119.973368035025</v>
      </c>
      <c r="R94" s="86">
        <f t="shared" si="39"/>
        <v>30119.973368035025</v>
      </c>
      <c r="S94" s="86">
        <f t="shared" si="39"/>
        <v>30119.973368035025</v>
      </c>
      <c r="T94" s="87"/>
      <c r="U94" s="82"/>
    </row>
    <row r="95" spans="1:21" x14ac:dyDescent="0.25">
      <c r="A95" s="82"/>
      <c r="B95" s="88"/>
      <c r="C95" s="89"/>
      <c r="D95" s="90"/>
      <c r="E95" s="89" t="s">
        <v>381</v>
      </c>
      <c r="F95" s="89"/>
      <c r="G95" s="91">
        <f>G94</f>
        <v>30119.973368035025</v>
      </c>
      <c r="H95" s="91">
        <f t="shared" ref="H95:S95" si="40">H94</f>
        <v>30119.973368035025</v>
      </c>
      <c r="I95" s="91">
        <f t="shared" si="40"/>
        <v>30119.973368035025</v>
      </c>
      <c r="J95" s="91">
        <f t="shared" si="40"/>
        <v>30119.973368035025</v>
      </c>
      <c r="K95" s="91">
        <f t="shared" si="40"/>
        <v>30119.973368035025</v>
      </c>
      <c r="L95" s="91">
        <f t="shared" si="40"/>
        <v>30119.973368035025</v>
      </c>
      <c r="M95" s="91">
        <f t="shared" si="40"/>
        <v>30119.973368035025</v>
      </c>
      <c r="N95" s="91">
        <f t="shared" si="40"/>
        <v>30119.973368035025</v>
      </c>
      <c r="O95" s="91">
        <f t="shared" si="40"/>
        <v>30119.973368035025</v>
      </c>
      <c r="P95" s="91">
        <f t="shared" si="40"/>
        <v>30119.973368035025</v>
      </c>
      <c r="Q95" s="91">
        <f t="shared" si="40"/>
        <v>30119.973368035025</v>
      </c>
      <c r="R95" s="91">
        <f t="shared" si="40"/>
        <v>30119.973368035025</v>
      </c>
      <c r="S95" s="91">
        <f t="shared" si="40"/>
        <v>30119.973368035025</v>
      </c>
      <c r="T95" s="92">
        <f>SUM(G95:S95)/13</f>
        <v>30119.973368035029</v>
      </c>
      <c r="U95" s="82"/>
    </row>
    <row r="96" spans="1:21" x14ac:dyDescent="0.25">
      <c r="A96" s="82"/>
      <c r="B96" s="88"/>
      <c r="C96" s="89"/>
      <c r="D96" s="90"/>
      <c r="E96" s="89"/>
      <c r="F96" s="89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2"/>
      <c r="U96" s="82"/>
    </row>
    <row r="97" spans="1:21" x14ac:dyDescent="0.25">
      <c r="A97" s="82"/>
      <c r="B97" s="88"/>
      <c r="C97" s="89" t="s">
        <v>412</v>
      </c>
      <c r="D97" s="90">
        <f>D94</f>
        <v>2.4706719004354946E-3</v>
      </c>
      <c r="E97" s="89"/>
      <c r="F97" s="89"/>
      <c r="G97" s="79">
        <f>G$8*$D97</f>
        <v>0</v>
      </c>
      <c r="H97" s="79">
        <f t="shared" ref="H97:S97" si="41">H$8*$D97</f>
        <v>0</v>
      </c>
      <c r="I97" s="79">
        <f t="shared" si="41"/>
        <v>0</v>
      </c>
      <c r="J97" s="79">
        <f t="shared" si="41"/>
        <v>0</v>
      </c>
      <c r="K97" s="79">
        <f t="shared" si="41"/>
        <v>8.4447565556885209</v>
      </c>
      <c r="L97" s="79">
        <f t="shared" si="41"/>
        <v>8.4447565556885209</v>
      </c>
      <c r="M97" s="79">
        <f t="shared" si="41"/>
        <v>0</v>
      </c>
      <c r="N97" s="79">
        <f t="shared" si="41"/>
        <v>0</v>
      </c>
      <c r="O97" s="79">
        <f t="shared" si="41"/>
        <v>0</v>
      </c>
      <c r="P97" s="79">
        <f t="shared" si="41"/>
        <v>3.3699964721940145</v>
      </c>
      <c r="Q97" s="79">
        <f t="shared" si="41"/>
        <v>0</v>
      </c>
      <c r="R97" s="79">
        <f t="shared" si="41"/>
        <v>0</v>
      </c>
      <c r="S97" s="79">
        <f t="shared" si="41"/>
        <v>0</v>
      </c>
      <c r="T97" s="92"/>
      <c r="U97" s="82"/>
    </row>
    <row r="98" spans="1:21" x14ac:dyDescent="0.25">
      <c r="A98" s="82"/>
      <c r="B98" s="88"/>
      <c r="C98" s="89"/>
      <c r="D98" s="90"/>
      <c r="E98" s="89" t="s">
        <v>69</v>
      </c>
      <c r="F98" s="89"/>
      <c r="G98" s="91">
        <f>G97</f>
        <v>0</v>
      </c>
      <c r="H98" s="91">
        <f t="shared" ref="H98:S98" si="42">H97</f>
        <v>0</v>
      </c>
      <c r="I98" s="91">
        <f t="shared" si="42"/>
        <v>0</v>
      </c>
      <c r="J98" s="91">
        <f t="shared" si="42"/>
        <v>0</v>
      </c>
      <c r="K98" s="91">
        <f t="shared" si="42"/>
        <v>8.4447565556885209</v>
      </c>
      <c r="L98" s="91">
        <f t="shared" si="42"/>
        <v>8.4447565556885209</v>
      </c>
      <c r="M98" s="91">
        <f t="shared" si="42"/>
        <v>0</v>
      </c>
      <c r="N98" s="91">
        <f t="shared" si="42"/>
        <v>0</v>
      </c>
      <c r="O98" s="91">
        <f t="shared" si="42"/>
        <v>0</v>
      </c>
      <c r="P98" s="91">
        <f t="shared" si="42"/>
        <v>3.3699964721940145</v>
      </c>
      <c r="Q98" s="91">
        <f t="shared" si="42"/>
        <v>0</v>
      </c>
      <c r="R98" s="91">
        <f t="shared" si="42"/>
        <v>0</v>
      </c>
      <c r="S98" s="91">
        <f t="shared" si="42"/>
        <v>0</v>
      </c>
      <c r="T98" s="92">
        <f>SUM(G98:S98)/13</f>
        <v>1.5584238141208504</v>
      </c>
      <c r="U98" s="82"/>
    </row>
    <row r="99" spans="1:21" x14ac:dyDescent="0.25">
      <c r="A99" s="82"/>
      <c r="B99" s="88"/>
      <c r="C99" s="93"/>
      <c r="D99" s="90"/>
      <c r="E99" s="89"/>
      <c r="F99" s="89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2"/>
      <c r="U99" s="82"/>
    </row>
    <row r="100" spans="1:21" x14ac:dyDescent="0.25">
      <c r="A100" s="82"/>
      <c r="B100" s="88"/>
      <c r="C100" s="89" t="s">
        <v>413</v>
      </c>
      <c r="D100" s="90">
        <f>D94</f>
        <v>2.4706719004354946E-3</v>
      </c>
      <c r="E100" s="89"/>
      <c r="F100" s="89"/>
      <c r="G100" s="79">
        <f>(G$48)*$D100</f>
        <v>-3662.2292567777899</v>
      </c>
      <c r="H100" s="79">
        <f t="shared" ref="H100:S100" si="43">(H$48)*$D100</f>
        <v>-3779.7705424409796</v>
      </c>
      <c r="I100" s="79">
        <f t="shared" si="43"/>
        <v>-3897.3118281041698</v>
      </c>
      <c r="J100" s="79">
        <f t="shared" si="43"/>
        <v>-4014.8531137673604</v>
      </c>
      <c r="K100" s="79">
        <f t="shared" si="43"/>
        <v>-4132.3943994305509</v>
      </c>
      <c r="L100" s="79">
        <f t="shared" si="43"/>
        <v>-4249.9356850937411</v>
      </c>
      <c r="M100" s="79">
        <f t="shared" si="43"/>
        <v>-4367.4769707569312</v>
      </c>
      <c r="N100" s="79">
        <f t="shared" si="43"/>
        <v>-4485.0182564201214</v>
      </c>
      <c r="O100" s="79">
        <f t="shared" si="43"/>
        <v>-4602.5595420833133</v>
      </c>
      <c r="P100" s="79">
        <f t="shared" si="43"/>
        <v>-4720.1008277465035</v>
      </c>
      <c r="Q100" s="79">
        <f t="shared" si="43"/>
        <v>-4837.6421134096936</v>
      </c>
      <c r="R100" s="79">
        <f t="shared" si="43"/>
        <v>-4955.1833990728837</v>
      </c>
      <c r="S100" s="79">
        <f t="shared" si="43"/>
        <v>-5072.7246847360748</v>
      </c>
      <c r="T100" s="92"/>
      <c r="U100" s="82"/>
    </row>
    <row r="101" spans="1:21" x14ac:dyDescent="0.25">
      <c r="A101" s="82"/>
      <c r="B101" s="88"/>
      <c r="C101" s="89"/>
      <c r="D101" s="90"/>
      <c r="E101" s="89" t="s">
        <v>396</v>
      </c>
      <c r="F101" s="89"/>
      <c r="G101" s="91">
        <f>G100</f>
        <v>-3662.2292567777899</v>
      </c>
      <c r="H101" s="91">
        <f t="shared" ref="H101:S101" si="44">H100</f>
        <v>-3779.7705424409796</v>
      </c>
      <c r="I101" s="91">
        <f t="shared" si="44"/>
        <v>-3897.3118281041698</v>
      </c>
      <c r="J101" s="91">
        <f t="shared" si="44"/>
        <v>-4014.8531137673604</v>
      </c>
      <c r="K101" s="91">
        <f t="shared" si="44"/>
        <v>-4132.3943994305509</v>
      </c>
      <c r="L101" s="91">
        <f t="shared" si="44"/>
        <v>-4249.9356850937411</v>
      </c>
      <c r="M101" s="91">
        <f t="shared" si="44"/>
        <v>-4367.4769707569312</v>
      </c>
      <c r="N101" s="91">
        <f t="shared" si="44"/>
        <v>-4485.0182564201214</v>
      </c>
      <c r="O101" s="91">
        <f t="shared" si="44"/>
        <v>-4602.5595420833133</v>
      </c>
      <c r="P101" s="91">
        <f t="shared" si="44"/>
        <v>-4720.1008277465035</v>
      </c>
      <c r="Q101" s="91">
        <f t="shared" si="44"/>
        <v>-4837.6421134096936</v>
      </c>
      <c r="R101" s="91">
        <f t="shared" si="44"/>
        <v>-4955.1833990728837</v>
      </c>
      <c r="S101" s="91">
        <f t="shared" si="44"/>
        <v>-5072.7246847360748</v>
      </c>
      <c r="T101" s="92">
        <f>SUM(G101:S101)/13</f>
        <v>-4367.4769707569321</v>
      </c>
      <c r="U101" s="82"/>
    </row>
    <row r="102" spans="1:21" ht="15.75" thickBot="1" x14ac:dyDescent="0.3">
      <c r="A102" s="82"/>
      <c r="B102" s="94"/>
      <c r="C102" s="95"/>
      <c r="D102" s="96"/>
      <c r="E102" s="95"/>
      <c r="F102" s="95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2"/>
      <c r="U102" s="82"/>
    </row>
    <row r="103" spans="1:21" x14ac:dyDescent="0.25">
      <c r="A103" s="82"/>
      <c r="B103" s="83" t="s">
        <v>420</v>
      </c>
      <c r="C103" s="84" t="s">
        <v>411</v>
      </c>
      <c r="D103" s="85">
        <f>'[1]Common Plant Allocation Factors'!G11</f>
        <v>0.22915694188985516</v>
      </c>
      <c r="E103" s="84"/>
      <c r="F103" s="84"/>
      <c r="G103" s="86">
        <f>(G$26)*$D103</f>
        <v>2793653.412906087</v>
      </c>
      <c r="H103" s="86">
        <f t="shared" ref="H103:S103" si="45">(H$26)*$D103</f>
        <v>2793653.412906087</v>
      </c>
      <c r="I103" s="86">
        <f t="shared" si="45"/>
        <v>2793653.412906087</v>
      </c>
      <c r="J103" s="86">
        <f t="shared" si="45"/>
        <v>2793653.412906087</v>
      </c>
      <c r="K103" s="86">
        <f t="shared" si="45"/>
        <v>2793653.412906087</v>
      </c>
      <c r="L103" s="86">
        <f t="shared" si="45"/>
        <v>2793653.412906087</v>
      </c>
      <c r="M103" s="86">
        <f t="shared" si="45"/>
        <v>2793653.412906087</v>
      </c>
      <c r="N103" s="86">
        <f t="shared" si="45"/>
        <v>2793653.412906087</v>
      </c>
      <c r="O103" s="86">
        <f t="shared" si="45"/>
        <v>2793653.412906087</v>
      </c>
      <c r="P103" s="86">
        <f t="shared" si="45"/>
        <v>2793653.412906087</v>
      </c>
      <c r="Q103" s="86">
        <f t="shared" si="45"/>
        <v>2793653.412906087</v>
      </c>
      <c r="R103" s="86">
        <f t="shared" si="45"/>
        <v>2793653.412906087</v>
      </c>
      <c r="S103" s="86">
        <f t="shared" si="45"/>
        <v>2793653.412906087</v>
      </c>
      <c r="T103" s="87"/>
      <c r="U103" s="82"/>
    </row>
    <row r="104" spans="1:21" x14ac:dyDescent="0.25">
      <c r="A104" s="82"/>
      <c r="B104" s="88"/>
      <c r="C104" s="89"/>
      <c r="D104" s="90"/>
      <c r="E104" s="89" t="s">
        <v>381</v>
      </c>
      <c r="F104" s="89"/>
      <c r="G104" s="91">
        <f>G103</f>
        <v>2793653.412906087</v>
      </c>
      <c r="H104" s="91">
        <f t="shared" ref="H104:S104" si="46">H103</f>
        <v>2793653.412906087</v>
      </c>
      <c r="I104" s="91">
        <f t="shared" si="46"/>
        <v>2793653.412906087</v>
      </c>
      <c r="J104" s="91">
        <f t="shared" si="46"/>
        <v>2793653.412906087</v>
      </c>
      <c r="K104" s="91">
        <f t="shared" si="46"/>
        <v>2793653.412906087</v>
      </c>
      <c r="L104" s="91">
        <f t="shared" si="46"/>
        <v>2793653.412906087</v>
      </c>
      <c r="M104" s="91">
        <f t="shared" si="46"/>
        <v>2793653.412906087</v>
      </c>
      <c r="N104" s="91">
        <f t="shared" si="46"/>
        <v>2793653.412906087</v>
      </c>
      <c r="O104" s="91">
        <f t="shared" si="46"/>
        <v>2793653.412906087</v>
      </c>
      <c r="P104" s="91">
        <f t="shared" si="46"/>
        <v>2793653.412906087</v>
      </c>
      <c r="Q104" s="91">
        <f t="shared" si="46"/>
        <v>2793653.412906087</v>
      </c>
      <c r="R104" s="91">
        <f t="shared" si="46"/>
        <v>2793653.412906087</v>
      </c>
      <c r="S104" s="91">
        <f t="shared" si="46"/>
        <v>2793653.412906087</v>
      </c>
      <c r="T104" s="92">
        <f>SUM(G104:S104)/13</f>
        <v>2793653.4129060875</v>
      </c>
      <c r="U104" s="82"/>
    </row>
    <row r="105" spans="1:21" x14ac:dyDescent="0.25">
      <c r="A105" s="82"/>
      <c r="B105" s="88"/>
      <c r="C105" s="89"/>
      <c r="D105" s="90"/>
      <c r="E105" s="89"/>
      <c r="F105" s="89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2"/>
      <c r="U105" s="82"/>
    </row>
    <row r="106" spans="1:21" x14ac:dyDescent="0.25">
      <c r="A106" s="82"/>
      <c r="B106" s="88"/>
      <c r="C106" s="89" t="s">
        <v>412</v>
      </c>
      <c r="D106" s="90">
        <f>D103</f>
        <v>0.22915694188985516</v>
      </c>
      <c r="E106" s="89"/>
      <c r="F106" s="89"/>
      <c r="G106" s="79">
        <f>G$8*$D106</f>
        <v>0</v>
      </c>
      <c r="H106" s="79">
        <f t="shared" ref="H106:S106" si="47">H$8*$D106</f>
        <v>0</v>
      </c>
      <c r="I106" s="79">
        <f t="shared" si="47"/>
        <v>0</v>
      </c>
      <c r="J106" s="79">
        <f t="shared" si="47"/>
        <v>0</v>
      </c>
      <c r="K106" s="79">
        <f t="shared" si="47"/>
        <v>783.25842737952496</v>
      </c>
      <c r="L106" s="79">
        <f t="shared" si="47"/>
        <v>783.25842737952496</v>
      </c>
      <c r="M106" s="79">
        <f t="shared" si="47"/>
        <v>0</v>
      </c>
      <c r="N106" s="79">
        <f t="shared" si="47"/>
        <v>0</v>
      </c>
      <c r="O106" s="79">
        <f t="shared" si="47"/>
        <v>0</v>
      </c>
      <c r="P106" s="79">
        <f t="shared" si="47"/>
        <v>312.57006873776243</v>
      </c>
      <c r="Q106" s="79">
        <f t="shared" si="47"/>
        <v>0</v>
      </c>
      <c r="R106" s="79">
        <f t="shared" si="47"/>
        <v>0</v>
      </c>
      <c r="S106" s="79">
        <f t="shared" si="47"/>
        <v>0</v>
      </c>
      <c r="T106" s="92"/>
      <c r="U106" s="82"/>
    </row>
    <row r="107" spans="1:21" x14ac:dyDescent="0.25">
      <c r="A107" s="82"/>
      <c r="B107" s="88"/>
      <c r="C107" s="89"/>
      <c r="D107" s="90"/>
      <c r="E107" s="89" t="s">
        <v>69</v>
      </c>
      <c r="F107" s="89"/>
      <c r="G107" s="91">
        <f>G106</f>
        <v>0</v>
      </c>
      <c r="H107" s="91">
        <f t="shared" ref="H107:S107" si="48">H106</f>
        <v>0</v>
      </c>
      <c r="I107" s="91">
        <f t="shared" si="48"/>
        <v>0</v>
      </c>
      <c r="J107" s="91">
        <f t="shared" si="48"/>
        <v>0</v>
      </c>
      <c r="K107" s="91">
        <f t="shared" si="48"/>
        <v>783.25842737952496</v>
      </c>
      <c r="L107" s="91">
        <f t="shared" si="48"/>
        <v>783.25842737952496</v>
      </c>
      <c r="M107" s="91">
        <f t="shared" si="48"/>
        <v>0</v>
      </c>
      <c r="N107" s="91">
        <f t="shared" si="48"/>
        <v>0</v>
      </c>
      <c r="O107" s="91">
        <f t="shared" si="48"/>
        <v>0</v>
      </c>
      <c r="P107" s="91">
        <f t="shared" si="48"/>
        <v>312.57006873776243</v>
      </c>
      <c r="Q107" s="91">
        <f t="shared" si="48"/>
        <v>0</v>
      </c>
      <c r="R107" s="91">
        <f t="shared" si="48"/>
        <v>0</v>
      </c>
      <c r="S107" s="91">
        <f t="shared" si="48"/>
        <v>0</v>
      </c>
      <c r="T107" s="92">
        <f>SUM(G107:S107)/13</f>
        <v>144.54514796129325</v>
      </c>
      <c r="U107" s="82"/>
    </row>
    <row r="108" spans="1:21" x14ac:dyDescent="0.25">
      <c r="A108" s="82"/>
      <c r="B108" s="88"/>
      <c r="C108" s="93"/>
      <c r="D108" s="90"/>
      <c r="E108" s="89"/>
      <c r="F108" s="89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2"/>
      <c r="U108" s="82"/>
    </row>
    <row r="109" spans="1:21" x14ac:dyDescent="0.25">
      <c r="A109" s="82"/>
      <c r="B109" s="88"/>
      <c r="C109" s="89" t="s">
        <v>413</v>
      </c>
      <c r="D109" s="90">
        <f>D103</f>
        <v>0.22915694188985516</v>
      </c>
      <c r="E109" s="89"/>
      <c r="F109" s="89"/>
      <c r="G109" s="79">
        <f>(G$48)*$D109</f>
        <v>-339674.91063254041</v>
      </c>
      <c r="H109" s="79">
        <f t="shared" ref="H109:S109" si="49">(H$48)*$D109</f>
        <v>-350576.96588464844</v>
      </c>
      <c r="I109" s="79">
        <f t="shared" si="49"/>
        <v>-361479.02113675646</v>
      </c>
      <c r="J109" s="79">
        <f t="shared" si="49"/>
        <v>-372381.07638886455</v>
      </c>
      <c r="K109" s="79">
        <f t="shared" si="49"/>
        <v>-383283.13164097263</v>
      </c>
      <c r="L109" s="79">
        <f t="shared" si="49"/>
        <v>-394185.18689308065</v>
      </c>
      <c r="M109" s="79">
        <f t="shared" si="49"/>
        <v>-405087.24214518868</v>
      </c>
      <c r="N109" s="79">
        <f t="shared" si="49"/>
        <v>-415989.2973972967</v>
      </c>
      <c r="O109" s="79">
        <f t="shared" si="49"/>
        <v>-426891.3526494049</v>
      </c>
      <c r="P109" s="79">
        <f t="shared" si="49"/>
        <v>-437793.40790151298</v>
      </c>
      <c r="Q109" s="79">
        <f t="shared" si="49"/>
        <v>-448695.46315362101</v>
      </c>
      <c r="R109" s="79">
        <f t="shared" si="49"/>
        <v>-459597.51840572909</v>
      </c>
      <c r="S109" s="79">
        <f t="shared" si="49"/>
        <v>-470499.57365783711</v>
      </c>
      <c r="T109" s="92"/>
      <c r="U109" s="82"/>
    </row>
    <row r="110" spans="1:21" x14ac:dyDescent="0.25">
      <c r="A110" s="82"/>
      <c r="B110" s="88"/>
      <c r="C110" s="89"/>
      <c r="D110" s="99"/>
      <c r="E110" s="89" t="s">
        <v>396</v>
      </c>
      <c r="F110" s="89"/>
      <c r="G110" s="91">
        <f>G109</f>
        <v>-339674.91063254041</v>
      </c>
      <c r="H110" s="91">
        <f t="shared" ref="H110:S110" si="50">H109</f>
        <v>-350576.96588464844</v>
      </c>
      <c r="I110" s="91">
        <f t="shared" si="50"/>
        <v>-361479.02113675646</v>
      </c>
      <c r="J110" s="91">
        <f t="shared" si="50"/>
        <v>-372381.07638886455</v>
      </c>
      <c r="K110" s="91">
        <f t="shared" si="50"/>
        <v>-383283.13164097263</v>
      </c>
      <c r="L110" s="91">
        <f t="shared" si="50"/>
        <v>-394185.18689308065</v>
      </c>
      <c r="M110" s="91">
        <f t="shared" si="50"/>
        <v>-405087.24214518868</v>
      </c>
      <c r="N110" s="91">
        <f t="shared" si="50"/>
        <v>-415989.2973972967</v>
      </c>
      <c r="O110" s="91">
        <f t="shared" si="50"/>
        <v>-426891.3526494049</v>
      </c>
      <c r="P110" s="91">
        <f t="shared" si="50"/>
        <v>-437793.40790151298</v>
      </c>
      <c r="Q110" s="91">
        <f t="shared" si="50"/>
        <v>-448695.46315362101</v>
      </c>
      <c r="R110" s="91">
        <f t="shared" si="50"/>
        <v>-459597.51840572909</v>
      </c>
      <c r="S110" s="91">
        <f t="shared" si="50"/>
        <v>-470499.57365783711</v>
      </c>
      <c r="T110" s="92">
        <f>SUM(G110:S110)/13</f>
        <v>-405087.24214518868</v>
      </c>
      <c r="U110" s="82"/>
    </row>
    <row r="111" spans="1:21" x14ac:dyDescent="0.25">
      <c r="A111" s="82"/>
      <c r="B111" s="88"/>
      <c r="C111" s="89"/>
      <c r="D111" s="100"/>
      <c r="E111" s="89"/>
      <c r="F111" s="89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2"/>
      <c r="U111" s="82"/>
    </row>
    <row r="112" spans="1:21" ht="15.75" thickBot="1" x14ac:dyDescent="0.3">
      <c r="A112" s="82"/>
      <c r="B112" s="94"/>
      <c r="C112" s="95"/>
      <c r="D112" s="101"/>
      <c r="E112" s="95"/>
      <c r="F112" s="95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102"/>
      <c r="U112" s="82"/>
    </row>
    <row r="113" spans="1:21" x14ac:dyDescent="0.25">
      <c r="A113" s="82"/>
      <c r="B113" s="82"/>
      <c r="C113" s="103"/>
      <c r="D113" s="103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</row>
    <row r="115" spans="1:21" x14ac:dyDescent="0.25">
      <c r="D115" s="131">
        <f>+D103+D94+D85+D76+D67+D58</f>
        <v>1</v>
      </c>
      <c r="E115" t="s">
        <v>463</v>
      </c>
      <c r="T115" s="105">
        <f>+T59+T68+T77+T86+T95+T104</f>
        <v>12191004.950000001</v>
      </c>
    </row>
    <row r="116" spans="1:21" x14ac:dyDescent="0.25">
      <c r="E116" t="s">
        <v>464</v>
      </c>
      <c r="T116" s="105">
        <f>+T62+T71+T80+T89+T98+T107</f>
        <v>630.76923076923072</v>
      </c>
    </row>
    <row r="117" spans="1:21" x14ac:dyDescent="0.25">
      <c r="E117" t="s">
        <v>465</v>
      </c>
      <c r="T117" s="105">
        <f>+T65+T74+T83+T92+T101+T110</f>
        <v>-1767728.4345149572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opLeftCell="A4" workbookViewId="0">
      <selection activeCell="B11" sqref="B11"/>
    </sheetView>
  </sheetViews>
  <sheetFormatPr defaultRowHeight="15" x14ac:dyDescent="0.25"/>
  <cols>
    <col min="1" max="1" width="25.140625" bestFit="1" customWidth="1"/>
    <col min="2" max="10" width="16.42578125" bestFit="1" customWidth="1"/>
    <col min="11" max="13" width="17.5703125" bestFit="1" customWidth="1"/>
    <col min="14" max="14" width="9.7109375" bestFit="1" customWidth="1"/>
    <col min="16" max="16" width="8.42578125" bestFit="1" customWidth="1"/>
    <col min="17" max="19" width="11.5703125" bestFit="1" customWidth="1"/>
    <col min="20" max="20" width="10.28515625" bestFit="1" customWidth="1"/>
    <col min="21" max="21" width="9.5703125" bestFit="1" customWidth="1"/>
    <col min="22" max="22" width="11.5703125" bestFit="1" customWidth="1"/>
    <col min="23" max="23" width="14.140625" bestFit="1" customWidth="1"/>
  </cols>
  <sheetData>
    <row r="1" spans="1:23" x14ac:dyDescent="0.25">
      <c r="A1" s="109" t="s">
        <v>448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P1" s="4" t="s">
        <v>1</v>
      </c>
      <c r="Q1" s="4" t="s">
        <v>3</v>
      </c>
      <c r="R1" s="4"/>
      <c r="S1" s="4"/>
      <c r="T1" s="4"/>
      <c r="U1" s="4"/>
      <c r="V1" s="4"/>
    </row>
    <row r="2" spans="1:23" x14ac:dyDescent="0.25">
      <c r="A2" s="109" t="s">
        <v>449</v>
      </c>
      <c r="B2" s="109" t="s">
        <v>421</v>
      </c>
      <c r="C2" s="109" t="s">
        <v>422</v>
      </c>
      <c r="D2" s="109" t="s">
        <v>423</v>
      </c>
      <c r="E2" s="109" t="s">
        <v>424</v>
      </c>
      <c r="F2" s="109" t="s">
        <v>425</v>
      </c>
      <c r="G2" s="109" t="s">
        <v>426</v>
      </c>
      <c r="H2" s="109" t="s">
        <v>427</v>
      </c>
      <c r="I2" s="109" t="s">
        <v>428</v>
      </c>
      <c r="J2" s="109" t="s">
        <v>429</v>
      </c>
      <c r="K2" s="109" t="s">
        <v>430</v>
      </c>
      <c r="L2" s="109" t="s">
        <v>431</v>
      </c>
      <c r="M2" s="109" t="s">
        <v>432</v>
      </c>
      <c r="N2" s="109" t="s">
        <v>32</v>
      </c>
      <c r="P2" s="4" t="s">
        <v>5</v>
      </c>
      <c r="Q2" s="4" t="s">
        <v>6</v>
      </c>
      <c r="R2" s="4" t="s">
        <v>7</v>
      </c>
      <c r="S2" s="4" t="s">
        <v>8</v>
      </c>
      <c r="T2" s="4" t="s">
        <v>9</v>
      </c>
      <c r="U2" s="4" t="s">
        <v>10</v>
      </c>
      <c r="V2" s="4" t="s">
        <v>11</v>
      </c>
    </row>
    <row r="3" spans="1:23" x14ac:dyDescent="0.25">
      <c r="A3" t="s">
        <v>433</v>
      </c>
      <c r="B3" s="68">
        <v>0</v>
      </c>
      <c r="C3" s="68">
        <v>0</v>
      </c>
      <c r="D3" s="68">
        <v>0</v>
      </c>
      <c r="E3" s="68">
        <v>0</v>
      </c>
      <c r="F3" s="68">
        <v>0</v>
      </c>
      <c r="G3" s="68">
        <v>0</v>
      </c>
      <c r="H3" s="68">
        <v>0</v>
      </c>
      <c r="I3" s="68">
        <v>0</v>
      </c>
      <c r="J3" s="68">
        <v>0</v>
      </c>
      <c r="K3" s="68">
        <v>0</v>
      </c>
      <c r="L3" s="68">
        <v>0</v>
      </c>
      <c r="M3" s="68">
        <v>0</v>
      </c>
      <c r="P3" s="4"/>
      <c r="Q3" s="104">
        <f>'[1]Common Plant Allocation Factors'!C11</f>
        <v>0.19493367655493263</v>
      </c>
      <c r="R3" s="104">
        <f>'[1]Common Plant Allocation Factors'!E11</f>
        <v>0.40075371178398028</v>
      </c>
      <c r="S3" s="104">
        <f>'[1]Common Plant Allocation Factors'!B11</f>
        <v>0.17538138419273502</v>
      </c>
      <c r="T3" s="104">
        <f>'[1]Common Plant Allocation Factors'!D11</f>
        <v>-2.6963863219386323E-3</v>
      </c>
      <c r="U3" s="104">
        <f>'[1]Common Plant Allocation Factors'!F11</f>
        <v>2.4706719004354946E-3</v>
      </c>
      <c r="V3" s="104">
        <f>'[1]Common Plant Allocation Factors'!G11</f>
        <v>0.22915694188985516</v>
      </c>
    </row>
    <row r="4" spans="1:23" x14ac:dyDescent="0.25">
      <c r="A4" t="s">
        <v>434</v>
      </c>
      <c r="B4" s="68">
        <v>14853.909015741698</v>
      </c>
      <c r="C4" s="68">
        <v>14857.434159242304</v>
      </c>
      <c r="D4" s="68">
        <v>14873.133298491517</v>
      </c>
      <c r="E4" s="68">
        <v>14882.942173315587</v>
      </c>
      <c r="F4" s="68">
        <v>14885.796742249993</v>
      </c>
      <c r="G4" s="68">
        <v>14888.836002183914</v>
      </c>
      <c r="H4" s="68">
        <v>14846.683240367905</v>
      </c>
      <c r="I4" s="68">
        <v>14846.681869731474</v>
      </c>
      <c r="J4" s="68">
        <v>14846.671209095204</v>
      </c>
      <c r="K4" s="68">
        <v>14846.693027427096</v>
      </c>
      <c r="L4" s="68">
        <v>14846.685922482886</v>
      </c>
      <c r="M4" s="68">
        <v>14846.678827256948</v>
      </c>
      <c r="N4" s="105">
        <f t="shared" ref="N4:N12" si="0">SUM(B4:M4)</f>
        <v>178322.14548758653</v>
      </c>
      <c r="Q4" s="106">
        <f>$N4*Q$3</f>
        <v>34760.991431058828</v>
      </c>
      <c r="R4" s="106">
        <f t="shared" ref="R4:V17" si="1">$N4*R$3</f>
        <v>71463.261697433249</v>
      </c>
      <c r="S4" s="106">
        <f t="shared" si="1"/>
        <v>31274.384707831203</v>
      </c>
      <c r="T4" s="106">
        <f t="shared" si="1"/>
        <v>-480.82539399147913</v>
      </c>
      <c r="U4" s="106">
        <f t="shared" si="1"/>
        <v>440.57551408155018</v>
      </c>
      <c r="V4" s="106">
        <f t="shared" si="1"/>
        <v>40863.757531173163</v>
      </c>
    </row>
    <row r="5" spans="1:23" x14ac:dyDescent="0.25">
      <c r="A5" t="s">
        <v>435</v>
      </c>
      <c r="B5" s="68">
        <v>19024.758303042501</v>
      </c>
      <c r="C5" s="68">
        <v>19024.758630290009</v>
      </c>
      <c r="D5" s="68">
        <v>19024.761461259801</v>
      </c>
      <c r="E5" s="68">
        <v>19024.758849127797</v>
      </c>
      <c r="F5" s="68">
        <v>19024.760859443308</v>
      </c>
      <c r="G5" s="68">
        <v>19024.760534821817</v>
      </c>
      <c r="H5" s="68">
        <v>19045.099379537674</v>
      </c>
      <c r="I5" s="68">
        <v>19045.098298120793</v>
      </c>
      <c r="J5" s="68">
        <v>19045.100169903191</v>
      </c>
      <c r="K5" s="68">
        <v>19045.101006578996</v>
      </c>
      <c r="L5" s="68">
        <v>19045.102364918417</v>
      </c>
      <c r="M5" s="68">
        <v>4930.2800000000016</v>
      </c>
      <c r="N5" s="105">
        <f t="shared" si="0"/>
        <v>214304.33985704434</v>
      </c>
      <c r="Q5" s="106">
        <f t="shared" ref="Q5:Q17" si="2">$N5*Q$3</f>
        <v>41775.132870011439</v>
      </c>
      <c r="R5" s="106">
        <f t="shared" si="1"/>
        <v>85883.259649126107</v>
      </c>
      <c r="S5" s="106">
        <f t="shared" si="1"/>
        <v>37584.991762638747</v>
      </c>
      <c r="T5" s="106">
        <f t="shared" si="1"/>
        <v>-577.84729072262246</v>
      </c>
      <c r="U5" s="106">
        <f t="shared" si="1"/>
        <v>529.47571062617783</v>
      </c>
      <c r="V5" s="106">
        <f t="shared" si="1"/>
        <v>49109.327155364481</v>
      </c>
    </row>
    <row r="6" spans="1:23" x14ac:dyDescent="0.25">
      <c r="A6" t="s">
        <v>436</v>
      </c>
      <c r="B6" s="68">
        <v>-1056.2809134480042</v>
      </c>
      <c r="C6" s="68">
        <v>-1056.2798595461977</v>
      </c>
      <c r="D6" s="68">
        <v>-1056.2777025962987</v>
      </c>
      <c r="E6" s="68">
        <v>-1086.97</v>
      </c>
      <c r="F6" s="68">
        <v>-1552.2598675000136</v>
      </c>
      <c r="G6" s="68">
        <v>-1552.2603098461882</v>
      </c>
      <c r="H6" s="68">
        <v>-1552.2596890944897</v>
      </c>
      <c r="I6" s="68">
        <v>-1552.2599444564203</v>
      </c>
      <c r="J6" s="68">
        <v>-1552.26</v>
      </c>
      <c r="K6" s="68">
        <v>-1820.3801783530025</v>
      </c>
      <c r="L6" s="68">
        <v>-1820.3799226395895</v>
      </c>
      <c r="M6" s="68">
        <v>14628.43</v>
      </c>
      <c r="N6" s="105">
        <f t="shared" si="0"/>
        <v>-1029.4383874802043</v>
      </c>
      <c r="Q6" s="106">
        <f t="shared" si="2"/>
        <v>-200.67220965829753</v>
      </c>
      <c r="R6" s="106">
        <f t="shared" si="1"/>
        <v>-412.55125483560721</v>
      </c>
      <c r="S6" s="106">
        <f t="shared" si="1"/>
        <v>-180.54432933741532</v>
      </c>
      <c r="T6" s="106">
        <f t="shared" si="1"/>
        <v>2.7757635872801845</v>
      </c>
      <c r="U6" s="106">
        <f t="shared" si="1"/>
        <v>-2.5434044971769674</v>
      </c>
      <c r="V6" s="106">
        <f t="shared" si="1"/>
        <v>-235.90295273898738</v>
      </c>
    </row>
    <row r="7" spans="1:23" x14ac:dyDescent="0.25">
      <c r="A7" t="s">
        <v>437</v>
      </c>
      <c r="B7" s="68">
        <v>2315.4093649745096</v>
      </c>
      <c r="C7" s="68">
        <v>2315.4094105915988</v>
      </c>
      <c r="D7" s="68">
        <v>2315.4105493018897</v>
      </c>
      <c r="E7" s="68">
        <v>2315.409862262904</v>
      </c>
      <c r="F7" s="68">
        <v>2315.4098213877041</v>
      </c>
      <c r="G7" s="68">
        <v>2315.4097005175049</v>
      </c>
      <c r="H7" s="68">
        <v>2315.4112595866964</v>
      </c>
      <c r="I7" s="68">
        <v>2315.4087431732</v>
      </c>
      <c r="J7" s="68">
        <v>2315.4096918466962</v>
      </c>
      <c r="K7" s="68">
        <v>2315.4108611893971</v>
      </c>
      <c r="L7" s="68">
        <v>2315.4118900111089</v>
      </c>
      <c r="M7" s="68">
        <v>-553.16</v>
      </c>
      <c r="N7" s="105">
        <f t="shared" si="0"/>
        <v>24916.351154843211</v>
      </c>
      <c r="Q7" s="106">
        <f t="shared" si="2"/>
        <v>4857.0359369473281</v>
      </c>
      <c r="R7" s="106">
        <f t="shared" si="1"/>
        <v>9985.3202094164808</v>
      </c>
      <c r="S7" s="106">
        <f t="shared" si="1"/>
        <v>4369.8641545686542</v>
      </c>
      <c r="T7" s="106">
        <f t="shared" si="1"/>
        <v>-67.184108446539071</v>
      </c>
      <c r="U7" s="106">
        <f t="shared" si="1"/>
        <v>61.560128659654609</v>
      </c>
      <c r="V7" s="106">
        <f t="shared" si="1"/>
        <v>5709.7548336976315</v>
      </c>
    </row>
    <row r="8" spans="1:23" x14ac:dyDescent="0.25">
      <c r="A8" t="s">
        <v>438</v>
      </c>
      <c r="B8" s="68">
        <v>-2838.4642669274999</v>
      </c>
      <c r="C8" s="68">
        <v>-2771.0778334811989</v>
      </c>
      <c r="D8" s="68">
        <v>-2771.0805860851019</v>
      </c>
      <c r="E8" s="68">
        <v>-2771.0772643316004</v>
      </c>
      <c r="F8" s="68">
        <v>-2771.0822673449984</v>
      </c>
      <c r="G8" s="68">
        <v>-2771.0813186814012</v>
      </c>
      <c r="H8" s="68">
        <v>-2536.077771917599</v>
      </c>
      <c r="I8" s="68">
        <v>-2404.6699999999996</v>
      </c>
      <c r="J8" s="68">
        <v>-2326.1359904007004</v>
      </c>
      <c r="K8" s="68">
        <v>-2326.1464629609</v>
      </c>
      <c r="L8" s="68">
        <v>-2242.3296627418999</v>
      </c>
      <c r="M8" s="68">
        <v>-2204.8463067148004</v>
      </c>
      <c r="N8" s="105">
        <f t="shared" si="0"/>
        <v>-30734.069731587701</v>
      </c>
      <c r="Q8" s="106">
        <f t="shared" si="2"/>
        <v>-5991.1052082740616</v>
      </c>
      <c r="R8" s="106">
        <f t="shared" si="1"/>
        <v>-12316.79252316145</v>
      </c>
      <c r="S8" s="106">
        <f t="shared" si="1"/>
        <v>-5390.1836914018913</v>
      </c>
      <c r="T8" s="106">
        <f t="shared" si="1"/>
        <v>82.870925241761213</v>
      </c>
      <c r="U8" s="106">
        <f t="shared" si="1"/>
        <v>-75.933802471858797</v>
      </c>
      <c r="V8" s="106">
        <f t="shared" si="1"/>
        <v>-7042.9254315201988</v>
      </c>
    </row>
    <row r="9" spans="1:23" x14ac:dyDescent="0.25">
      <c r="A9" t="s">
        <v>439</v>
      </c>
      <c r="B9" s="68">
        <v>3742.6909858890986</v>
      </c>
      <c r="C9" s="68">
        <v>3742.688795209699</v>
      </c>
      <c r="D9" s="68">
        <v>3742.6898061436996</v>
      </c>
      <c r="E9" s="68">
        <v>3742.6908286273979</v>
      </c>
      <c r="F9" s="68">
        <v>3742.6900142965042</v>
      </c>
      <c r="G9" s="68">
        <v>3742.6896902463004</v>
      </c>
      <c r="H9" s="68">
        <v>3742.6896630022084</v>
      </c>
      <c r="I9" s="68">
        <v>3742.6894003760976</v>
      </c>
      <c r="J9" s="68">
        <v>3742.6903317460924</v>
      </c>
      <c r="K9" s="68">
        <v>3742.6898457245934</v>
      </c>
      <c r="L9" s="68">
        <v>3742.6907079048019</v>
      </c>
      <c r="M9" s="68">
        <v>3742.6899029307069</v>
      </c>
      <c r="N9" s="105">
        <f t="shared" si="0"/>
        <v>44912.279972097203</v>
      </c>
      <c r="Q9" s="106">
        <f t="shared" si="2"/>
        <v>8754.9158574253743</v>
      </c>
      <c r="R9" s="106">
        <f t="shared" si="1"/>
        <v>17998.762903499271</v>
      </c>
      <c r="S9" s="106">
        <f t="shared" si="1"/>
        <v>7876.7778287580586</v>
      </c>
      <c r="T9" s="106">
        <f t="shared" si="1"/>
        <v>-121.10085740384127</v>
      </c>
      <c r="U9" s="106">
        <f t="shared" si="1"/>
        <v>110.9635081115524</v>
      </c>
      <c r="V9" s="106">
        <f t="shared" si="1"/>
        <v>10291.960731706784</v>
      </c>
    </row>
    <row r="10" spans="1:23" x14ac:dyDescent="0.25">
      <c r="A10" t="s">
        <v>440</v>
      </c>
      <c r="B10" s="68">
        <v>5346.3588581648019</v>
      </c>
      <c r="C10" s="68">
        <v>5346.3601008507967</v>
      </c>
      <c r="D10" s="68">
        <v>5346.3588470421128</v>
      </c>
      <c r="E10" s="68">
        <v>5346.3613465749004</v>
      </c>
      <c r="F10" s="68">
        <v>5346.3594933343911</v>
      </c>
      <c r="G10" s="68">
        <v>5346.3625800436976</v>
      </c>
      <c r="H10" s="68">
        <v>5346.3578262717965</v>
      </c>
      <c r="I10" s="68">
        <v>5346.3591840157942</v>
      </c>
      <c r="J10" s="68">
        <v>5346.3615068891095</v>
      </c>
      <c r="K10" s="68">
        <v>5346.3594094121991</v>
      </c>
      <c r="L10" s="68">
        <v>5346.3612632256009</v>
      </c>
      <c r="M10" s="68">
        <v>5346.3599338366139</v>
      </c>
      <c r="N10" s="105">
        <f t="shared" si="0"/>
        <v>64156.320349661815</v>
      </c>
      <c r="Q10" s="106">
        <f t="shared" si="2"/>
        <v>12506.227399995618</v>
      </c>
      <c r="R10" s="106">
        <f t="shared" si="1"/>
        <v>25710.88351452908</v>
      </c>
      <c r="S10" s="106">
        <f t="shared" si="1"/>
        <v>11251.824267636222</v>
      </c>
      <c r="T10" s="106">
        <f t="shared" si="1"/>
        <v>-172.99022465674125</v>
      </c>
      <c r="U10" s="106">
        <f t="shared" si="1"/>
        <v>158.50921792324735</v>
      </c>
      <c r="V10" s="106">
        <f t="shared" si="1"/>
        <v>14701.866174234385</v>
      </c>
    </row>
    <row r="11" spans="1:23" x14ac:dyDescent="0.25">
      <c r="A11" t="s">
        <v>441</v>
      </c>
      <c r="B11" s="68">
        <v>6107.9779723874126</v>
      </c>
      <c r="C11" s="68">
        <v>6107.9784209926966</v>
      </c>
      <c r="D11" s="68">
        <v>6107.9797836177004</v>
      </c>
      <c r="E11" s="68">
        <v>6107.9834378479973</v>
      </c>
      <c r="F11" s="68">
        <v>6107.9790196794938</v>
      </c>
      <c r="G11" s="68">
        <v>6107.977642689415</v>
      </c>
      <c r="H11" s="68">
        <v>6107.9838557750936</v>
      </c>
      <c r="I11" s="68">
        <v>6107.9768729396992</v>
      </c>
      <c r="J11" s="68">
        <v>6107.9818622040939</v>
      </c>
      <c r="K11" s="68">
        <v>6107.977754429211</v>
      </c>
      <c r="L11" s="68">
        <v>6107.9811266408014</v>
      </c>
      <c r="M11" s="68">
        <v>6107.9812395321887</v>
      </c>
      <c r="N11" s="105">
        <f t="shared" si="0"/>
        <v>73295.758988735804</v>
      </c>
      <c r="Q11" s="106">
        <f t="shared" si="2"/>
        <v>14287.811775558521</v>
      </c>
      <c r="R11" s="106">
        <f t="shared" si="1"/>
        <v>29373.54747275991</v>
      </c>
      <c r="S11" s="106">
        <f t="shared" si="1"/>
        <v>12854.711666901585</v>
      </c>
      <c r="T11" s="106">
        <f t="shared" si="1"/>
        <v>-197.63368199333777</v>
      </c>
      <c r="U11" s="106">
        <f t="shared" si="1"/>
        <v>181.08977215456187</v>
      </c>
      <c r="V11" s="106">
        <f t="shared" si="1"/>
        <v>16796.231983354559</v>
      </c>
    </row>
    <row r="12" spans="1:23" x14ac:dyDescent="0.25">
      <c r="A12" t="s">
        <v>442</v>
      </c>
      <c r="B12" s="68">
        <v>730.2099628679</v>
      </c>
      <c r="C12" s="68">
        <v>730.20984562659999</v>
      </c>
      <c r="D12" s="68">
        <v>730.20999698320009</v>
      </c>
      <c r="E12" s="68">
        <v>730.21021849520025</v>
      </c>
      <c r="F12" s="68">
        <v>730.20996280539987</v>
      </c>
      <c r="G12" s="68">
        <v>730.20997142360034</v>
      </c>
      <c r="H12" s="68">
        <v>730.21008266739989</v>
      </c>
      <c r="I12" s="68">
        <v>730.2099445938004</v>
      </c>
      <c r="J12" s="68">
        <v>730.21002480309983</v>
      </c>
      <c r="K12" s="68">
        <v>730.21000625499971</v>
      </c>
      <c r="L12" s="68">
        <v>730.20999174270014</v>
      </c>
      <c r="M12" s="68">
        <v>730.20998732269959</v>
      </c>
      <c r="N12" s="105">
        <f t="shared" si="0"/>
        <v>8762.519995586601</v>
      </c>
      <c r="Q12" s="106">
        <f t="shared" si="2"/>
        <v>1708.1102386258081</v>
      </c>
      <c r="R12" s="106">
        <f t="shared" si="1"/>
        <v>3511.6124128126767</v>
      </c>
      <c r="S12" s="106">
        <f t="shared" si="1"/>
        <v>1536.7828858424964</v>
      </c>
      <c r="T12" s="106">
        <f t="shared" si="1"/>
        <v>-23.627139061813477</v>
      </c>
      <c r="U12" s="106">
        <f t="shared" si="1"/>
        <v>21.649311930099969</v>
      </c>
      <c r="V12" s="106">
        <f t="shared" si="1"/>
        <v>2007.9922854373326</v>
      </c>
    </row>
    <row r="13" spans="1:23" x14ac:dyDescent="0.25">
      <c r="A13" t="s">
        <v>443</v>
      </c>
      <c r="B13" s="71">
        <v>48226.569282692421</v>
      </c>
      <c r="C13" s="71">
        <v>48297.481669776316</v>
      </c>
      <c r="D13" s="71">
        <v>48313.185454158513</v>
      </c>
      <c r="E13" s="71">
        <v>48292.309451920177</v>
      </c>
      <c r="F13" s="71">
        <v>47829.863778351792</v>
      </c>
      <c r="G13" s="71">
        <v>47832.904493398666</v>
      </c>
      <c r="H13" s="71">
        <v>48046.097846196673</v>
      </c>
      <c r="I13" s="71">
        <v>48177.494368494437</v>
      </c>
      <c r="J13" s="71">
        <v>48256.028806086782</v>
      </c>
      <c r="K13" s="71">
        <v>47987.915269702593</v>
      </c>
      <c r="L13" s="71">
        <v>48071.733681544814</v>
      </c>
      <c r="M13" s="71">
        <v>47574.623584164343</v>
      </c>
      <c r="N13" s="110">
        <f>SUM(B13:M13)</f>
        <v>576906.20768648759</v>
      </c>
      <c r="Q13" s="107">
        <f t="shared" si="2"/>
        <v>112458.44809169056</v>
      </c>
      <c r="R13" s="107">
        <f t="shared" si="1"/>
        <v>231197.30408157973</v>
      </c>
      <c r="S13" s="107">
        <f t="shared" si="1"/>
        <v>101178.60925343767</v>
      </c>
      <c r="T13" s="107">
        <f t="shared" si="1"/>
        <v>-1555.5620074473329</v>
      </c>
      <c r="U13" s="107">
        <f t="shared" si="1"/>
        <v>1425.3459565178084</v>
      </c>
      <c r="V13" s="107">
        <f t="shared" si="1"/>
        <v>132202.06231070915</v>
      </c>
      <c r="W13" s="67" t="s">
        <v>444</v>
      </c>
    </row>
    <row r="14" spans="1:23" x14ac:dyDescent="0.25">
      <c r="Q14" s="106">
        <f t="shared" si="2"/>
        <v>0</v>
      </c>
      <c r="R14" s="106">
        <f t="shared" si="1"/>
        <v>0</v>
      </c>
      <c r="S14" s="106">
        <f t="shared" si="1"/>
        <v>0</v>
      </c>
      <c r="T14" s="106">
        <f t="shared" si="1"/>
        <v>0</v>
      </c>
      <c r="U14" s="106">
        <f t="shared" si="1"/>
        <v>0</v>
      </c>
      <c r="V14" s="106">
        <f t="shared" si="1"/>
        <v>0</v>
      </c>
    </row>
    <row r="15" spans="1:23" x14ac:dyDescent="0.25">
      <c r="A15" s="67" t="s">
        <v>445</v>
      </c>
      <c r="B15" s="105">
        <f>-B9-B10</f>
        <v>-9089.0498440539013</v>
      </c>
      <c r="C15" s="105">
        <f t="shared" ref="C15:N15" si="3">-C9-C10</f>
        <v>-9089.0488960604962</v>
      </c>
      <c r="D15" s="105">
        <f t="shared" si="3"/>
        <v>-9089.0486531858114</v>
      </c>
      <c r="E15" s="105">
        <f t="shared" si="3"/>
        <v>-9089.0521752022978</v>
      </c>
      <c r="F15" s="105">
        <f t="shared" si="3"/>
        <v>-9089.0495076308944</v>
      </c>
      <c r="G15" s="105">
        <f t="shared" si="3"/>
        <v>-9089.052270289998</v>
      </c>
      <c r="H15" s="105">
        <f t="shared" si="3"/>
        <v>-9089.0474892740058</v>
      </c>
      <c r="I15" s="105">
        <f t="shared" si="3"/>
        <v>-9089.0485843918923</v>
      </c>
      <c r="J15" s="105">
        <f t="shared" si="3"/>
        <v>-9089.0518386352014</v>
      </c>
      <c r="K15" s="105">
        <f t="shared" si="3"/>
        <v>-9089.0492551367934</v>
      </c>
      <c r="L15" s="105">
        <f t="shared" si="3"/>
        <v>-9089.0519711304023</v>
      </c>
      <c r="M15" s="105">
        <f t="shared" si="3"/>
        <v>-9089.0498367673208</v>
      </c>
      <c r="N15" s="105">
        <f t="shared" si="3"/>
        <v>-109068.60032175902</v>
      </c>
      <c r="Q15" s="106">
        <f t="shared" si="2"/>
        <v>-21261.143257420994</v>
      </c>
      <c r="R15" s="106">
        <f t="shared" si="1"/>
        <v>-43709.646418028351</v>
      </c>
      <c r="S15" s="106">
        <f t="shared" si="1"/>
        <v>-19128.602096394283</v>
      </c>
      <c r="T15" s="106">
        <f t="shared" si="1"/>
        <v>294.09108206058255</v>
      </c>
      <c r="U15" s="106">
        <f t="shared" si="1"/>
        <v>-269.47272603479973</v>
      </c>
      <c r="V15" s="106">
        <f t="shared" si="1"/>
        <v>-24993.826905941169</v>
      </c>
    </row>
    <row r="16" spans="1:23" x14ac:dyDescent="0.25">
      <c r="Q16" s="106">
        <f t="shared" si="2"/>
        <v>0</v>
      </c>
      <c r="R16" s="106">
        <f t="shared" si="1"/>
        <v>0</v>
      </c>
      <c r="S16" s="106">
        <f t="shared" si="1"/>
        <v>0</v>
      </c>
      <c r="T16" s="106">
        <f t="shared" si="1"/>
        <v>0</v>
      </c>
      <c r="U16" s="106">
        <f t="shared" si="1"/>
        <v>0</v>
      </c>
      <c r="V16" s="106">
        <f t="shared" si="1"/>
        <v>0</v>
      </c>
    </row>
    <row r="17" spans="1:23" ht="15.75" thickBot="1" x14ac:dyDescent="0.3">
      <c r="A17" s="67" t="s">
        <v>446</v>
      </c>
      <c r="B17" s="111">
        <f>B13+B15</f>
        <v>39137.519438638519</v>
      </c>
      <c r="C17" s="111">
        <f t="shared" ref="C17:N17" si="4">C13+C15</f>
        <v>39208.432773715816</v>
      </c>
      <c r="D17" s="111">
        <f t="shared" si="4"/>
        <v>39224.136800972701</v>
      </c>
      <c r="E17" s="111">
        <f t="shared" si="4"/>
        <v>39203.257276717879</v>
      </c>
      <c r="F17" s="111">
        <f t="shared" si="4"/>
        <v>38740.814270720897</v>
      </c>
      <c r="G17" s="111">
        <f t="shared" si="4"/>
        <v>38743.852223108668</v>
      </c>
      <c r="H17" s="111">
        <f t="shared" si="4"/>
        <v>38957.050356922671</v>
      </c>
      <c r="I17" s="111">
        <f t="shared" si="4"/>
        <v>39088.445784102543</v>
      </c>
      <c r="J17" s="111">
        <f t="shared" si="4"/>
        <v>39166.976967451585</v>
      </c>
      <c r="K17" s="111">
        <f t="shared" si="4"/>
        <v>38898.8660145658</v>
      </c>
      <c r="L17" s="111">
        <f t="shared" si="4"/>
        <v>38982.681710414414</v>
      </c>
      <c r="M17" s="111">
        <f t="shared" si="4"/>
        <v>38485.573747397022</v>
      </c>
      <c r="N17" s="111">
        <f t="shared" si="4"/>
        <v>467837.60736472858</v>
      </c>
      <c r="Q17" s="108">
        <f t="shared" si="2"/>
        <v>91197.304834269569</v>
      </c>
      <c r="R17" s="108">
        <f t="shared" si="1"/>
        <v>187487.65766355136</v>
      </c>
      <c r="S17" s="108">
        <f t="shared" si="1"/>
        <v>82050.007157043379</v>
      </c>
      <c r="T17" s="108">
        <f t="shared" si="1"/>
        <v>-1261.4709253867504</v>
      </c>
      <c r="U17" s="108">
        <f t="shared" si="1"/>
        <v>1155.8732304830087</v>
      </c>
      <c r="V17" s="108">
        <f t="shared" si="1"/>
        <v>107208.23540476798</v>
      </c>
      <c r="W17" s="67" t="s">
        <v>447</v>
      </c>
    </row>
    <row r="18" spans="1:23" ht="15.75" thickTop="1" x14ac:dyDescent="0.25"/>
  </sheetData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A6" sqref="A6"/>
    </sheetView>
  </sheetViews>
  <sheetFormatPr defaultRowHeight="15" x14ac:dyDescent="0.25"/>
  <cols>
    <col min="1" max="1" width="25.140625" bestFit="1" customWidth="1"/>
    <col min="2" max="10" width="16.42578125" bestFit="1" customWidth="1"/>
    <col min="11" max="13" width="17.5703125" bestFit="1" customWidth="1"/>
    <col min="14" max="14" width="9.7109375" bestFit="1" customWidth="1"/>
    <col min="16" max="16" width="8.42578125" bestFit="1" customWidth="1"/>
    <col min="17" max="19" width="11.5703125" bestFit="1" customWidth="1"/>
    <col min="20" max="20" width="10.28515625" bestFit="1" customWidth="1"/>
    <col min="21" max="21" width="9.5703125" bestFit="1" customWidth="1"/>
    <col min="22" max="22" width="11.5703125" bestFit="1" customWidth="1"/>
    <col min="23" max="23" width="14.140625" bestFit="1" customWidth="1"/>
  </cols>
  <sheetData>
    <row r="1" spans="1:23" x14ac:dyDescent="0.25">
      <c r="A1" s="109" t="s">
        <v>448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P1" s="4" t="s">
        <v>1</v>
      </c>
      <c r="Q1" s="4" t="s">
        <v>3</v>
      </c>
      <c r="R1" s="4"/>
      <c r="S1" s="4"/>
      <c r="T1" s="4"/>
      <c r="U1" s="4"/>
      <c r="V1" s="4"/>
    </row>
    <row r="2" spans="1:23" x14ac:dyDescent="0.25">
      <c r="A2" s="109" t="s">
        <v>449</v>
      </c>
      <c r="B2" s="109" t="s">
        <v>421</v>
      </c>
      <c r="C2" s="109" t="s">
        <v>422</v>
      </c>
      <c r="D2" s="109" t="s">
        <v>423</v>
      </c>
      <c r="E2" s="109" t="s">
        <v>424</v>
      </c>
      <c r="F2" s="109" t="s">
        <v>425</v>
      </c>
      <c r="G2" s="109" t="s">
        <v>426</v>
      </c>
      <c r="H2" s="109" t="s">
        <v>427</v>
      </c>
      <c r="I2" s="109" t="s">
        <v>428</v>
      </c>
      <c r="J2" s="109" t="s">
        <v>429</v>
      </c>
      <c r="K2" s="109" t="s">
        <v>430</v>
      </c>
      <c r="L2" s="109" t="s">
        <v>431</v>
      </c>
      <c r="M2" s="109" t="s">
        <v>432</v>
      </c>
      <c r="N2" s="109" t="s">
        <v>32</v>
      </c>
      <c r="P2" s="4" t="s">
        <v>5</v>
      </c>
      <c r="Q2" s="4" t="s">
        <v>6</v>
      </c>
      <c r="R2" s="4" t="s">
        <v>7</v>
      </c>
      <c r="S2" s="4" t="s">
        <v>8</v>
      </c>
      <c r="T2" s="4" t="s">
        <v>9</v>
      </c>
      <c r="U2" s="4" t="s">
        <v>10</v>
      </c>
      <c r="V2" s="4" t="s">
        <v>11</v>
      </c>
    </row>
    <row r="3" spans="1:23" x14ac:dyDescent="0.25">
      <c r="A3" t="s">
        <v>433</v>
      </c>
      <c r="B3" s="68">
        <f>'FC depreciation adjustment 21'!M3</f>
        <v>0</v>
      </c>
      <c r="C3" s="68">
        <v>0</v>
      </c>
      <c r="D3" s="68">
        <v>0</v>
      </c>
      <c r="E3" s="68">
        <v>0</v>
      </c>
      <c r="F3" s="68">
        <v>0</v>
      </c>
      <c r="G3" s="68">
        <v>0</v>
      </c>
      <c r="H3" s="68">
        <v>0</v>
      </c>
      <c r="I3" s="68">
        <v>0</v>
      </c>
      <c r="J3" s="68">
        <v>0</v>
      </c>
      <c r="K3" s="68">
        <v>0</v>
      </c>
      <c r="L3" s="68">
        <v>0</v>
      </c>
      <c r="M3" s="68">
        <v>0</v>
      </c>
      <c r="P3" s="4"/>
      <c r="Q3" s="104">
        <f>'[1]Common Plant Allocation Factors'!C11</f>
        <v>0.19493367655493263</v>
      </c>
      <c r="R3" s="104">
        <f>'[1]Common Plant Allocation Factors'!E11</f>
        <v>0.40075371178398028</v>
      </c>
      <c r="S3" s="104">
        <f>'[1]Common Plant Allocation Factors'!B11</f>
        <v>0.17538138419273502</v>
      </c>
      <c r="T3" s="104">
        <f>'[1]Common Plant Allocation Factors'!D11</f>
        <v>-2.6963863219386323E-3</v>
      </c>
      <c r="U3" s="104">
        <f>'[1]Common Plant Allocation Factors'!F11</f>
        <v>2.4706719004354946E-3</v>
      </c>
      <c r="V3" s="104">
        <f>'[1]Common Plant Allocation Factors'!G11</f>
        <v>0.22915694188985516</v>
      </c>
    </row>
    <row r="4" spans="1:23" x14ac:dyDescent="0.25">
      <c r="A4" t="s">
        <v>434</v>
      </c>
      <c r="B4" s="68">
        <f>'FC depreciation adjustment 21'!M4</f>
        <v>14846.678827256948</v>
      </c>
      <c r="C4" s="68">
        <f>B4</f>
        <v>14846.678827256948</v>
      </c>
      <c r="D4" s="68">
        <f t="shared" ref="D4:M4" si="0">C4</f>
        <v>14846.678827256948</v>
      </c>
      <c r="E4" s="68">
        <f t="shared" si="0"/>
        <v>14846.678827256948</v>
      </c>
      <c r="F4" s="68">
        <f t="shared" si="0"/>
        <v>14846.678827256948</v>
      </c>
      <c r="G4" s="68">
        <f t="shared" si="0"/>
        <v>14846.678827256948</v>
      </c>
      <c r="H4" s="68">
        <f t="shared" si="0"/>
        <v>14846.678827256948</v>
      </c>
      <c r="I4" s="68">
        <f t="shared" si="0"/>
        <v>14846.678827256948</v>
      </c>
      <c r="J4" s="68">
        <f t="shared" si="0"/>
        <v>14846.678827256948</v>
      </c>
      <c r="K4" s="68">
        <f t="shared" si="0"/>
        <v>14846.678827256948</v>
      </c>
      <c r="L4" s="68">
        <f t="shared" si="0"/>
        <v>14846.678827256948</v>
      </c>
      <c r="M4" s="68">
        <f t="shared" si="0"/>
        <v>14846.678827256948</v>
      </c>
      <c r="N4" s="105">
        <f t="shared" ref="N4:N12" si="1">SUM(B4:M4)</f>
        <v>178160.14592708342</v>
      </c>
      <c r="Q4" s="106">
        <f>$N4*Q$3</f>
        <v>34729.412261129677</v>
      </c>
      <c r="R4" s="106">
        <f t="shared" ref="R4:V17" si="2">$N4*R$3</f>
        <v>71398.339772254258</v>
      </c>
      <c r="S4" s="106">
        <f t="shared" si="2"/>
        <v>31245.973000671551</v>
      </c>
      <c r="T4" s="106">
        <f t="shared" si="2"/>
        <v>-480.38858059237845</v>
      </c>
      <c r="U4" s="106">
        <f t="shared" si="2"/>
        <v>440.17526631953223</v>
      </c>
      <c r="V4" s="106">
        <f t="shared" si="2"/>
        <v>40826.634207300769</v>
      </c>
    </row>
    <row r="5" spans="1:23" x14ac:dyDescent="0.25">
      <c r="A5" t="s">
        <v>435</v>
      </c>
      <c r="B5" s="68">
        <f>'FC depreciation adjustment 21'!M5</f>
        <v>4930.2800000000016</v>
      </c>
      <c r="C5" s="68">
        <f t="shared" ref="C5:M12" si="3">B5</f>
        <v>4930.2800000000016</v>
      </c>
      <c r="D5" s="68">
        <f t="shared" si="3"/>
        <v>4930.2800000000016</v>
      </c>
      <c r="E5" s="68">
        <f t="shared" si="3"/>
        <v>4930.2800000000016</v>
      </c>
      <c r="F5" s="68">
        <f t="shared" si="3"/>
        <v>4930.2800000000016</v>
      </c>
      <c r="G5" s="68">
        <f t="shared" si="3"/>
        <v>4930.2800000000016</v>
      </c>
      <c r="H5" s="68">
        <f t="shared" si="3"/>
        <v>4930.2800000000016</v>
      </c>
      <c r="I5" s="68">
        <f t="shared" si="3"/>
        <v>4930.2800000000016</v>
      </c>
      <c r="J5" s="68">
        <f t="shared" si="3"/>
        <v>4930.2800000000016</v>
      </c>
      <c r="K5" s="68">
        <f t="shared" si="3"/>
        <v>4930.2800000000016</v>
      </c>
      <c r="L5" s="68">
        <f t="shared" si="3"/>
        <v>4930.2800000000016</v>
      </c>
      <c r="M5" s="68">
        <f t="shared" si="3"/>
        <v>4930.2800000000016</v>
      </c>
      <c r="N5" s="105">
        <f t="shared" si="1"/>
        <v>59163.360000000008</v>
      </c>
      <c r="Q5" s="106">
        <f t="shared" ref="Q5:Q17" si="4">$N5*Q$3</f>
        <v>11532.931282143041</v>
      </c>
      <c r="R5" s="106">
        <f t="shared" si="2"/>
        <v>23709.93612161187</v>
      </c>
      <c r="S5" s="106">
        <f t="shared" si="2"/>
        <v>10376.151970293093</v>
      </c>
      <c r="T5" s="106">
        <f t="shared" si="2"/>
        <v>-159.52727466393122</v>
      </c>
      <c r="U5" s="106">
        <f t="shared" si="2"/>
        <v>146.17325108734934</v>
      </c>
      <c r="V5" s="106">
        <f t="shared" si="2"/>
        <v>13557.694649528583</v>
      </c>
    </row>
    <row r="6" spans="1:23" x14ac:dyDescent="0.25">
      <c r="A6" t="s">
        <v>436</v>
      </c>
      <c r="B6" s="68">
        <f>'FC depreciation adjustment 21'!M6</f>
        <v>14628.43</v>
      </c>
      <c r="C6" s="68">
        <f t="shared" si="3"/>
        <v>14628.43</v>
      </c>
      <c r="D6" s="68">
        <f t="shared" si="3"/>
        <v>14628.43</v>
      </c>
      <c r="E6" s="68">
        <f t="shared" si="3"/>
        <v>14628.43</v>
      </c>
      <c r="F6" s="68">
        <f t="shared" si="3"/>
        <v>14628.43</v>
      </c>
      <c r="G6" s="68">
        <f t="shared" si="3"/>
        <v>14628.43</v>
      </c>
      <c r="H6" s="68">
        <f t="shared" si="3"/>
        <v>14628.43</v>
      </c>
      <c r="I6" s="68">
        <f t="shared" si="3"/>
        <v>14628.43</v>
      </c>
      <c r="J6" s="68">
        <f t="shared" si="3"/>
        <v>14628.43</v>
      </c>
      <c r="K6" s="68">
        <f t="shared" si="3"/>
        <v>14628.43</v>
      </c>
      <c r="L6" s="68">
        <f t="shared" si="3"/>
        <v>14628.43</v>
      </c>
      <c r="M6" s="68">
        <f t="shared" si="3"/>
        <v>14628.43</v>
      </c>
      <c r="N6" s="105">
        <f t="shared" si="1"/>
        <v>175541.15999999995</v>
      </c>
      <c r="Q6" s="106">
        <f t="shared" si="4"/>
        <v>34218.88370551767</v>
      </c>
      <c r="R6" s="106">
        <f t="shared" si="2"/>
        <v>70348.771440865545</v>
      </c>
      <c r="S6" s="106">
        <f t="shared" si="2"/>
        <v>30786.651623598362</v>
      </c>
      <c r="T6" s="106">
        <f t="shared" si="2"/>
        <v>-473.32678276124079</v>
      </c>
      <c r="U6" s="106">
        <f t="shared" si="2"/>
        <v>433.70461138185112</v>
      </c>
      <c r="V6" s="106">
        <f t="shared" si="2"/>
        <v>40226.475401397758</v>
      </c>
    </row>
    <row r="7" spans="1:23" x14ac:dyDescent="0.25">
      <c r="A7" t="s">
        <v>437</v>
      </c>
      <c r="B7" s="68">
        <f>'FC depreciation adjustment 21'!M7</f>
        <v>-553.16</v>
      </c>
      <c r="C7" s="68">
        <f t="shared" si="3"/>
        <v>-553.16</v>
      </c>
      <c r="D7" s="68">
        <f t="shared" si="3"/>
        <v>-553.16</v>
      </c>
      <c r="E7" s="68">
        <f t="shared" si="3"/>
        <v>-553.16</v>
      </c>
      <c r="F7" s="68">
        <f t="shared" si="3"/>
        <v>-553.16</v>
      </c>
      <c r="G7" s="68">
        <f t="shared" si="3"/>
        <v>-553.16</v>
      </c>
      <c r="H7" s="68">
        <f t="shared" si="3"/>
        <v>-553.16</v>
      </c>
      <c r="I7" s="68">
        <f t="shared" si="3"/>
        <v>-553.16</v>
      </c>
      <c r="J7" s="68">
        <f t="shared" si="3"/>
        <v>-553.16</v>
      </c>
      <c r="K7" s="68">
        <f t="shared" si="3"/>
        <v>-553.16</v>
      </c>
      <c r="L7" s="68">
        <f t="shared" si="3"/>
        <v>-553.16</v>
      </c>
      <c r="M7" s="68">
        <f t="shared" si="3"/>
        <v>-553.16</v>
      </c>
      <c r="N7" s="105">
        <f t="shared" si="1"/>
        <v>-6637.9199999999992</v>
      </c>
      <c r="Q7" s="106">
        <f t="shared" si="4"/>
        <v>-1293.9541502775182</v>
      </c>
      <c r="R7" s="106">
        <f t="shared" si="2"/>
        <v>-2660.171078525118</v>
      </c>
      <c r="S7" s="106">
        <f t="shared" si="2"/>
        <v>-1164.1675977606394</v>
      </c>
      <c r="T7" s="106">
        <f t="shared" si="2"/>
        <v>17.898396694122884</v>
      </c>
      <c r="U7" s="106">
        <f t="shared" si="2"/>
        <v>-16.400122421338775</v>
      </c>
      <c r="V7" s="106">
        <f t="shared" si="2"/>
        <v>-1521.1254477095072</v>
      </c>
    </row>
    <row r="8" spans="1:23" x14ac:dyDescent="0.25">
      <c r="A8" t="s">
        <v>438</v>
      </c>
      <c r="B8" s="68">
        <f>'FC depreciation adjustment 21'!M8</f>
        <v>-2204.8463067148004</v>
      </c>
      <c r="C8" s="68">
        <f t="shared" si="3"/>
        <v>-2204.8463067148004</v>
      </c>
      <c r="D8" s="68">
        <f t="shared" si="3"/>
        <v>-2204.8463067148004</v>
      </c>
      <c r="E8" s="68">
        <f t="shared" si="3"/>
        <v>-2204.8463067148004</v>
      </c>
      <c r="F8" s="68">
        <f t="shared" si="3"/>
        <v>-2204.8463067148004</v>
      </c>
      <c r="G8" s="68">
        <f t="shared" si="3"/>
        <v>-2204.8463067148004</v>
      </c>
      <c r="H8" s="68">
        <f t="shared" si="3"/>
        <v>-2204.8463067148004</v>
      </c>
      <c r="I8" s="68">
        <f t="shared" si="3"/>
        <v>-2204.8463067148004</v>
      </c>
      <c r="J8" s="68">
        <f t="shared" si="3"/>
        <v>-2204.8463067148004</v>
      </c>
      <c r="K8" s="68">
        <f t="shared" si="3"/>
        <v>-2204.8463067148004</v>
      </c>
      <c r="L8" s="68">
        <f t="shared" si="3"/>
        <v>-2204.8463067148004</v>
      </c>
      <c r="M8" s="68">
        <f t="shared" si="3"/>
        <v>-2204.8463067148004</v>
      </c>
      <c r="N8" s="105">
        <f t="shared" si="1"/>
        <v>-26458.155680577605</v>
      </c>
      <c r="Q8" s="106">
        <f t="shared" si="4"/>
        <v>-5157.5855616777681</v>
      </c>
      <c r="R8" s="106">
        <f t="shared" si="2"/>
        <v>-10603.204095949879</v>
      </c>
      <c r="S8" s="106">
        <f t="shared" si="2"/>
        <v>-4640.2679664465759</v>
      </c>
      <c r="T8" s="106">
        <f t="shared" si="2"/>
        <v>71.341409080832378</v>
      </c>
      <c r="U8" s="106">
        <f t="shared" si="2"/>
        <v>-65.369421777350851</v>
      </c>
      <c r="V8" s="106">
        <f t="shared" si="2"/>
        <v>-6063.0700438068634</v>
      </c>
    </row>
    <row r="9" spans="1:23" x14ac:dyDescent="0.25">
      <c r="A9" t="s">
        <v>439</v>
      </c>
      <c r="B9" s="68">
        <f>'FC depreciation adjustment 21'!M9</f>
        <v>3742.6899029307069</v>
      </c>
      <c r="C9" s="68">
        <f t="shared" si="3"/>
        <v>3742.6899029307069</v>
      </c>
      <c r="D9" s="68">
        <f t="shared" si="3"/>
        <v>3742.6899029307069</v>
      </c>
      <c r="E9" s="68">
        <f t="shared" si="3"/>
        <v>3742.6899029307069</v>
      </c>
      <c r="F9" s="68">
        <f t="shared" si="3"/>
        <v>3742.6899029307069</v>
      </c>
      <c r="G9" s="68">
        <f t="shared" si="3"/>
        <v>3742.6899029307069</v>
      </c>
      <c r="H9" s="68">
        <f t="shared" si="3"/>
        <v>3742.6899029307069</v>
      </c>
      <c r="I9" s="68">
        <f t="shared" si="3"/>
        <v>3742.6899029307069</v>
      </c>
      <c r="J9" s="68">
        <f t="shared" si="3"/>
        <v>3742.6899029307069</v>
      </c>
      <c r="K9" s="68">
        <f t="shared" si="3"/>
        <v>3742.6899029307069</v>
      </c>
      <c r="L9" s="68">
        <f t="shared" si="3"/>
        <v>3742.6899029307069</v>
      </c>
      <c r="M9" s="68">
        <f t="shared" si="3"/>
        <v>3742.6899029307069</v>
      </c>
      <c r="N9" s="105">
        <f t="shared" si="1"/>
        <v>44912.278835168487</v>
      </c>
      <c r="Q9" s="106">
        <f t="shared" si="4"/>
        <v>8754.9156357996799</v>
      </c>
      <c r="R9" s="106">
        <f t="shared" si="2"/>
        <v>17998.762447870868</v>
      </c>
      <c r="S9" s="106">
        <f t="shared" si="2"/>
        <v>7876.7776293619263</v>
      </c>
      <c r="T9" s="106">
        <f t="shared" si="2"/>
        <v>-121.10085433824223</v>
      </c>
      <c r="U9" s="106">
        <f t="shared" si="2"/>
        <v>110.96350530257457</v>
      </c>
      <c r="V9" s="106">
        <f t="shared" si="2"/>
        <v>10291.960471171677</v>
      </c>
    </row>
    <row r="10" spans="1:23" x14ac:dyDescent="0.25">
      <c r="A10" t="s">
        <v>440</v>
      </c>
      <c r="B10" s="68">
        <f>'FC depreciation adjustment 21'!M10</f>
        <v>5346.3599338366139</v>
      </c>
      <c r="C10" s="68">
        <f t="shared" si="3"/>
        <v>5346.3599338366139</v>
      </c>
      <c r="D10" s="68">
        <f t="shared" si="3"/>
        <v>5346.3599338366139</v>
      </c>
      <c r="E10" s="68">
        <f t="shared" si="3"/>
        <v>5346.3599338366139</v>
      </c>
      <c r="F10" s="68">
        <f t="shared" si="3"/>
        <v>5346.3599338366139</v>
      </c>
      <c r="G10" s="68">
        <f t="shared" si="3"/>
        <v>5346.3599338366139</v>
      </c>
      <c r="H10" s="68">
        <f t="shared" si="3"/>
        <v>5346.3599338366139</v>
      </c>
      <c r="I10" s="68">
        <f t="shared" si="3"/>
        <v>5346.3599338366139</v>
      </c>
      <c r="J10" s="68">
        <f t="shared" si="3"/>
        <v>5346.3599338366139</v>
      </c>
      <c r="K10" s="68">
        <f t="shared" si="3"/>
        <v>5346.3599338366139</v>
      </c>
      <c r="L10" s="68">
        <f t="shared" si="3"/>
        <v>5346.3599338366139</v>
      </c>
      <c r="M10" s="68">
        <f t="shared" si="3"/>
        <v>5346.3599338366139</v>
      </c>
      <c r="N10" s="105">
        <f t="shared" si="1"/>
        <v>64156.319206039356</v>
      </c>
      <c r="Q10" s="106">
        <f t="shared" si="4"/>
        <v>12506.227177065088</v>
      </c>
      <c r="R10" s="106">
        <f t="shared" si="2"/>
        <v>25710.883056218136</v>
      </c>
      <c r="S10" s="106">
        <f t="shared" si="2"/>
        <v>11251.824067066133</v>
      </c>
      <c r="T10" s="106">
        <f t="shared" si="2"/>
        <v>-172.99022157309329</v>
      </c>
      <c r="U10" s="106">
        <f t="shared" si="2"/>
        <v>158.50921509773147</v>
      </c>
      <c r="V10" s="106">
        <f t="shared" si="2"/>
        <v>14701.86591216536</v>
      </c>
    </row>
    <row r="11" spans="1:23" x14ac:dyDescent="0.25">
      <c r="A11" t="s">
        <v>441</v>
      </c>
      <c r="B11" s="68">
        <f>'FC depreciation adjustment 21'!M11</f>
        <v>6107.9812395321887</v>
      </c>
      <c r="C11" s="68">
        <f t="shared" si="3"/>
        <v>6107.9812395321887</v>
      </c>
      <c r="D11" s="68">
        <f t="shared" si="3"/>
        <v>6107.9812395321887</v>
      </c>
      <c r="E11" s="68">
        <f t="shared" si="3"/>
        <v>6107.9812395321887</v>
      </c>
      <c r="F11" s="68">
        <f t="shared" si="3"/>
        <v>6107.9812395321887</v>
      </c>
      <c r="G11" s="68">
        <f t="shared" si="3"/>
        <v>6107.9812395321887</v>
      </c>
      <c r="H11" s="68">
        <f t="shared" si="3"/>
        <v>6107.9812395321887</v>
      </c>
      <c r="I11" s="68">
        <f t="shared" si="3"/>
        <v>6107.9812395321887</v>
      </c>
      <c r="J11" s="68">
        <f t="shared" si="3"/>
        <v>6107.9812395321887</v>
      </c>
      <c r="K11" s="68">
        <f t="shared" si="3"/>
        <v>6107.9812395321887</v>
      </c>
      <c r="L11" s="68">
        <f t="shared" si="3"/>
        <v>6107.9812395321887</v>
      </c>
      <c r="M11" s="68">
        <f t="shared" si="3"/>
        <v>6107.9812395321887</v>
      </c>
      <c r="N11" s="105">
        <f t="shared" si="1"/>
        <v>73295.774874386261</v>
      </c>
      <c r="Q11" s="106">
        <f t="shared" si="4"/>
        <v>14287.814872206769</v>
      </c>
      <c r="R11" s="106">
        <f t="shared" si="2"/>
        <v>29373.553838993295</v>
      </c>
      <c r="S11" s="106">
        <f t="shared" si="2"/>
        <v>12854.714452948952</v>
      </c>
      <c r="T11" s="106">
        <f t="shared" si="2"/>
        <v>-197.63372482718839</v>
      </c>
      <c r="U11" s="106">
        <f t="shared" si="2"/>
        <v>181.08981140279209</v>
      </c>
      <c r="V11" s="106">
        <f t="shared" si="2"/>
        <v>16796.23562366164</v>
      </c>
    </row>
    <row r="12" spans="1:23" x14ac:dyDescent="0.25">
      <c r="A12" t="s">
        <v>442</v>
      </c>
      <c r="B12" s="68">
        <f>'FC depreciation adjustment 21'!M12</f>
        <v>730.20998732269959</v>
      </c>
      <c r="C12" s="68">
        <f t="shared" si="3"/>
        <v>730.20998732269959</v>
      </c>
      <c r="D12" s="68">
        <f t="shared" si="3"/>
        <v>730.20998732269959</v>
      </c>
      <c r="E12" s="68">
        <f t="shared" si="3"/>
        <v>730.20998732269959</v>
      </c>
      <c r="F12" s="68">
        <f t="shared" si="3"/>
        <v>730.20998732269959</v>
      </c>
      <c r="G12" s="68">
        <f t="shared" si="3"/>
        <v>730.20998732269959</v>
      </c>
      <c r="H12" s="68">
        <f t="shared" si="3"/>
        <v>730.20998732269959</v>
      </c>
      <c r="I12" s="68">
        <f t="shared" si="3"/>
        <v>730.20998732269959</v>
      </c>
      <c r="J12" s="68">
        <f t="shared" si="3"/>
        <v>730.20998732269959</v>
      </c>
      <c r="K12" s="68">
        <f t="shared" si="3"/>
        <v>730.20998732269959</v>
      </c>
      <c r="L12" s="68">
        <f t="shared" si="3"/>
        <v>730.20998732269959</v>
      </c>
      <c r="M12" s="68">
        <f t="shared" si="3"/>
        <v>730.20998732269959</v>
      </c>
      <c r="N12" s="105">
        <f t="shared" si="1"/>
        <v>8762.519847872396</v>
      </c>
      <c r="Q12" s="106">
        <f t="shared" si="4"/>
        <v>1708.1102098313352</v>
      </c>
      <c r="R12" s="106">
        <f t="shared" si="2"/>
        <v>3511.612353615661</v>
      </c>
      <c r="S12" s="106">
        <f t="shared" si="2"/>
        <v>1536.7828599361746</v>
      </c>
      <c r="T12" s="106">
        <f t="shared" si="2"/>
        <v>-23.627138663518913</v>
      </c>
      <c r="U12" s="106">
        <f t="shared" si="2"/>
        <v>21.649311565146633</v>
      </c>
      <c r="V12" s="106">
        <f t="shared" si="2"/>
        <v>2007.9922515875971</v>
      </c>
    </row>
    <row r="13" spans="1:23" x14ac:dyDescent="0.25">
      <c r="A13" t="s">
        <v>443</v>
      </c>
      <c r="B13" s="71">
        <f>SUM(B3:B12)</f>
        <v>47574.623584164343</v>
      </c>
      <c r="C13" s="71">
        <f t="shared" ref="C13:N13" si="5">SUM(C3:C12)</f>
        <v>47574.623584164343</v>
      </c>
      <c r="D13" s="71">
        <f t="shared" si="5"/>
        <v>47574.623584164343</v>
      </c>
      <c r="E13" s="71">
        <f t="shared" si="5"/>
        <v>47574.623584164343</v>
      </c>
      <c r="F13" s="71">
        <f t="shared" si="5"/>
        <v>47574.623584164343</v>
      </c>
      <c r="G13" s="71">
        <f t="shared" si="5"/>
        <v>47574.623584164343</v>
      </c>
      <c r="H13" s="71">
        <f t="shared" si="5"/>
        <v>47574.623584164343</v>
      </c>
      <c r="I13" s="71">
        <f t="shared" si="5"/>
        <v>47574.623584164343</v>
      </c>
      <c r="J13" s="71">
        <f t="shared" si="5"/>
        <v>47574.623584164343</v>
      </c>
      <c r="K13" s="71">
        <f t="shared" si="5"/>
        <v>47574.623584164343</v>
      </c>
      <c r="L13" s="71">
        <f t="shared" si="5"/>
        <v>47574.623584164343</v>
      </c>
      <c r="M13" s="71">
        <f t="shared" si="5"/>
        <v>47574.623584164343</v>
      </c>
      <c r="N13" s="71">
        <f t="shared" si="5"/>
        <v>570895.48300997238</v>
      </c>
      <c r="Q13" s="107">
        <f t="shared" si="4"/>
        <v>111286.75543173798</v>
      </c>
      <c r="R13" s="107">
        <f t="shared" si="2"/>
        <v>228788.48385695467</v>
      </c>
      <c r="S13" s="107">
        <f t="shared" si="2"/>
        <v>100124.44003966899</v>
      </c>
      <c r="T13" s="107">
        <f t="shared" si="2"/>
        <v>-1539.3547716446383</v>
      </c>
      <c r="U13" s="107">
        <f t="shared" si="2"/>
        <v>1410.495427958288</v>
      </c>
      <c r="V13" s="107">
        <f t="shared" si="2"/>
        <v>130824.66302529704</v>
      </c>
      <c r="W13" s="67" t="s">
        <v>444</v>
      </c>
    </row>
    <row r="14" spans="1:23" x14ac:dyDescent="0.25">
      <c r="Q14" s="106">
        <f t="shared" si="4"/>
        <v>0</v>
      </c>
      <c r="R14" s="106">
        <f t="shared" si="2"/>
        <v>0</v>
      </c>
      <c r="S14" s="106">
        <f t="shared" si="2"/>
        <v>0</v>
      </c>
      <c r="T14" s="106">
        <f t="shared" si="2"/>
        <v>0</v>
      </c>
      <c r="U14" s="106">
        <f t="shared" si="2"/>
        <v>0</v>
      </c>
      <c r="V14" s="106">
        <f t="shared" si="2"/>
        <v>0</v>
      </c>
    </row>
    <row r="15" spans="1:23" x14ac:dyDescent="0.25">
      <c r="A15" s="67" t="s">
        <v>445</v>
      </c>
      <c r="B15" s="105">
        <f>-B9-B10</f>
        <v>-9089.0498367673208</v>
      </c>
      <c r="C15" s="105">
        <f t="shared" ref="C15:N15" si="6">-C9-C10</f>
        <v>-9089.0498367673208</v>
      </c>
      <c r="D15" s="105">
        <f t="shared" si="6"/>
        <v>-9089.0498367673208</v>
      </c>
      <c r="E15" s="105">
        <f t="shared" si="6"/>
        <v>-9089.0498367673208</v>
      </c>
      <c r="F15" s="105">
        <f t="shared" si="6"/>
        <v>-9089.0498367673208</v>
      </c>
      <c r="G15" s="105">
        <f t="shared" si="6"/>
        <v>-9089.0498367673208</v>
      </c>
      <c r="H15" s="105">
        <f t="shared" si="6"/>
        <v>-9089.0498367673208</v>
      </c>
      <c r="I15" s="105">
        <f t="shared" si="6"/>
        <v>-9089.0498367673208</v>
      </c>
      <c r="J15" s="105">
        <f t="shared" si="6"/>
        <v>-9089.0498367673208</v>
      </c>
      <c r="K15" s="105">
        <f t="shared" si="6"/>
        <v>-9089.0498367673208</v>
      </c>
      <c r="L15" s="105">
        <f t="shared" si="6"/>
        <v>-9089.0498367673208</v>
      </c>
      <c r="M15" s="105">
        <f t="shared" si="6"/>
        <v>-9089.0498367673208</v>
      </c>
      <c r="N15" s="105">
        <f t="shared" si="6"/>
        <v>-109068.59804120785</v>
      </c>
      <c r="Q15" s="106">
        <f t="shared" si="4"/>
        <v>-21261.142812864768</v>
      </c>
      <c r="R15" s="106">
        <f t="shared" si="2"/>
        <v>-43709.645504089007</v>
      </c>
      <c r="S15" s="106">
        <f t="shared" si="2"/>
        <v>-19128.601696428061</v>
      </c>
      <c r="T15" s="106">
        <f t="shared" si="2"/>
        <v>294.09107591133557</v>
      </c>
      <c r="U15" s="106">
        <f t="shared" si="2"/>
        <v>-269.47272040030606</v>
      </c>
      <c r="V15" s="106">
        <f t="shared" si="2"/>
        <v>-24993.826383337037</v>
      </c>
    </row>
    <row r="16" spans="1:23" x14ac:dyDescent="0.25">
      <c r="Q16" s="106">
        <f t="shared" si="4"/>
        <v>0</v>
      </c>
      <c r="R16" s="106">
        <f t="shared" si="2"/>
        <v>0</v>
      </c>
      <c r="S16" s="106">
        <f t="shared" si="2"/>
        <v>0</v>
      </c>
      <c r="T16" s="106">
        <f t="shared" si="2"/>
        <v>0</v>
      </c>
      <c r="U16" s="106">
        <f t="shared" si="2"/>
        <v>0</v>
      </c>
      <c r="V16" s="106">
        <f t="shared" si="2"/>
        <v>0</v>
      </c>
    </row>
    <row r="17" spans="1:23" ht="15.75" thickBot="1" x14ac:dyDescent="0.3">
      <c r="A17" s="67" t="s">
        <v>446</v>
      </c>
      <c r="B17" s="111">
        <f>B13+B15</f>
        <v>38485.573747397022</v>
      </c>
      <c r="C17" s="111">
        <f t="shared" ref="C17:N17" si="7">C13+C15</f>
        <v>38485.573747397022</v>
      </c>
      <c r="D17" s="111">
        <f t="shared" si="7"/>
        <v>38485.573747397022</v>
      </c>
      <c r="E17" s="111">
        <f t="shared" si="7"/>
        <v>38485.573747397022</v>
      </c>
      <c r="F17" s="111">
        <f t="shared" si="7"/>
        <v>38485.573747397022</v>
      </c>
      <c r="G17" s="111">
        <f t="shared" si="7"/>
        <v>38485.573747397022</v>
      </c>
      <c r="H17" s="111">
        <f t="shared" si="7"/>
        <v>38485.573747397022</v>
      </c>
      <c r="I17" s="111">
        <f t="shared" si="7"/>
        <v>38485.573747397022</v>
      </c>
      <c r="J17" s="111">
        <f t="shared" si="7"/>
        <v>38485.573747397022</v>
      </c>
      <c r="K17" s="111">
        <f t="shared" si="7"/>
        <v>38485.573747397022</v>
      </c>
      <c r="L17" s="111">
        <f t="shared" si="7"/>
        <v>38485.573747397022</v>
      </c>
      <c r="M17" s="111">
        <f t="shared" si="7"/>
        <v>38485.573747397022</v>
      </c>
      <c r="N17" s="111">
        <f t="shared" si="7"/>
        <v>461826.8849687645</v>
      </c>
      <c r="Q17" s="108">
        <f t="shared" si="4"/>
        <v>90025.612618873216</v>
      </c>
      <c r="R17" s="108">
        <f t="shared" si="2"/>
        <v>185078.83835286566</v>
      </c>
      <c r="S17" s="108">
        <f t="shared" si="2"/>
        <v>80995.838343240932</v>
      </c>
      <c r="T17" s="108">
        <f t="shared" si="2"/>
        <v>-1245.2636957333027</v>
      </c>
      <c r="U17" s="108">
        <f t="shared" si="2"/>
        <v>1141.0227075579819</v>
      </c>
      <c r="V17" s="108">
        <f t="shared" si="2"/>
        <v>105830.83664195999</v>
      </c>
      <c r="W17" s="67" t="s">
        <v>447</v>
      </c>
    </row>
    <row r="18" spans="1:23" ht="15.75" thickTop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opLeftCell="B1" workbookViewId="0">
      <selection activeCell="B13" sqref="B13:N13"/>
    </sheetView>
  </sheetViews>
  <sheetFormatPr defaultRowHeight="15" x14ac:dyDescent="0.25"/>
  <cols>
    <col min="1" max="1" width="25.140625" bestFit="1" customWidth="1"/>
    <col min="2" max="10" width="16.42578125" bestFit="1" customWidth="1"/>
    <col min="11" max="13" width="17.5703125" bestFit="1" customWidth="1"/>
    <col min="14" max="14" width="9.7109375" bestFit="1" customWidth="1"/>
    <col min="16" max="16" width="8.42578125" bestFit="1" customWidth="1"/>
    <col min="17" max="19" width="11.5703125" bestFit="1" customWidth="1"/>
    <col min="20" max="20" width="10.28515625" bestFit="1" customWidth="1"/>
    <col min="21" max="21" width="9.5703125" bestFit="1" customWidth="1"/>
    <col min="22" max="22" width="11.5703125" bestFit="1" customWidth="1"/>
    <col min="23" max="23" width="14.140625" bestFit="1" customWidth="1"/>
  </cols>
  <sheetData>
    <row r="1" spans="1:23" x14ac:dyDescent="0.25">
      <c r="A1" s="109" t="s">
        <v>448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P1" s="4" t="s">
        <v>1</v>
      </c>
      <c r="Q1" s="4" t="s">
        <v>3</v>
      </c>
      <c r="R1" s="4"/>
      <c r="S1" s="4"/>
      <c r="T1" s="4"/>
      <c r="U1" s="4"/>
      <c r="V1" s="4"/>
    </row>
    <row r="2" spans="1:23" x14ac:dyDescent="0.25">
      <c r="A2" s="109" t="s">
        <v>449</v>
      </c>
      <c r="B2" s="109" t="s">
        <v>421</v>
      </c>
      <c r="C2" s="109" t="s">
        <v>422</v>
      </c>
      <c r="D2" s="109" t="s">
        <v>423</v>
      </c>
      <c r="E2" s="109" t="s">
        <v>424</v>
      </c>
      <c r="F2" s="109" t="s">
        <v>425</v>
      </c>
      <c r="G2" s="109" t="s">
        <v>426</v>
      </c>
      <c r="H2" s="109" t="s">
        <v>427</v>
      </c>
      <c r="I2" s="109" t="s">
        <v>428</v>
      </c>
      <c r="J2" s="109" t="s">
        <v>429</v>
      </c>
      <c r="K2" s="109" t="s">
        <v>430</v>
      </c>
      <c r="L2" s="109" t="s">
        <v>431</v>
      </c>
      <c r="M2" s="109" t="s">
        <v>432</v>
      </c>
      <c r="N2" s="109" t="s">
        <v>32</v>
      </c>
      <c r="P2" s="4" t="s">
        <v>5</v>
      </c>
      <c r="Q2" s="4" t="s">
        <v>6</v>
      </c>
      <c r="R2" s="4" t="s">
        <v>7</v>
      </c>
      <c r="S2" s="4" t="s">
        <v>8</v>
      </c>
      <c r="T2" s="4" t="s">
        <v>9</v>
      </c>
      <c r="U2" s="4" t="s">
        <v>10</v>
      </c>
      <c r="V2" s="4" t="s">
        <v>11</v>
      </c>
    </row>
    <row r="3" spans="1:23" x14ac:dyDescent="0.25">
      <c r="A3" t="s">
        <v>433</v>
      </c>
      <c r="B3" s="68">
        <v>0</v>
      </c>
      <c r="C3" s="68">
        <v>0</v>
      </c>
      <c r="D3" s="68">
        <v>0</v>
      </c>
      <c r="E3" s="68">
        <v>0</v>
      </c>
      <c r="F3" s="68">
        <v>0</v>
      </c>
      <c r="G3" s="68">
        <v>0</v>
      </c>
      <c r="H3" s="68">
        <v>0</v>
      </c>
      <c r="I3" s="68">
        <v>0</v>
      </c>
      <c r="J3" s="68">
        <v>0</v>
      </c>
      <c r="K3" s="68">
        <v>0</v>
      </c>
      <c r="L3" s="68">
        <v>0</v>
      </c>
      <c r="M3" s="68">
        <v>0</v>
      </c>
      <c r="P3" s="4"/>
      <c r="Q3" s="104">
        <f>'[1]Common Plant Allocation Factors'!C11</f>
        <v>0.19493367655493263</v>
      </c>
      <c r="R3" s="104">
        <f>'[1]Common Plant Allocation Factors'!E11</f>
        <v>0.40075371178398028</v>
      </c>
      <c r="S3" s="104">
        <f>'[1]Common Plant Allocation Factors'!B11</f>
        <v>0.17538138419273502</v>
      </c>
      <c r="T3" s="104">
        <f>'[1]Common Plant Allocation Factors'!D11</f>
        <v>-2.6963863219386323E-3</v>
      </c>
      <c r="U3" s="104">
        <f>'[1]Common Plant Allocation Factors'!F11</f>
        <v>2.4706719004354946E-3</v>
      </c>
      <c r="V3" s="104">
        <f>'[1]Common Plant Allocation Factors'!G11</f>
        <v>0.22915694188985516</v>
      </c>
    </row>
    <row r="4" spans="1:23" x14ac:dyDescent="0.25">
      <c r="A4" t="s">
        <v>434</v>
      </c>
      <c r="B4" s="68">
        <f>'FC depreciation adjustment 22'!M4</f>
        <v>14846.678827256948</v>
      </c>
      <c r="C4" s="68">
        <f>B4</f>
        <v>14846.678827256948</v>
      </c>
      <c r="D4" s="68">
        <f t="shared" ref="D4:M4" si="0">C4</f>
        <v>14846.678827256948</v>
      </c>
      <c r="E4" s="68">
        <f t="shared" si="0"/>
        <v>14846.678827256948</v>
      </c>
      <c r="F4" s="68">
        <f t="shared" si="0"/>
        <v>14846.678827256948</v>
      </c>
      <c r="G4" s="68">
        <f t="shared" si="0"/>
        <v>14846.678827256948</v>
      </c>
      <c r="H4" s="68">
        <f t="shared" si="0"/>
        <v>14846.678827256948</v>
      </c>
      <c r="I4" s="68">
        <f t="shared" si="0"/>
        <v>14846.678827256948</v>
      </c>
      <c r="J4" s="68">
        <f t="shared" si="0"/>
        <v>14846.678827256948</v>
      </c>
      <c r="K4" s="68">
        <f t="shared" si="0"/>
        <v>14846.678827256948</v>
      </c>
      <c r="L4" s="68">
        <f t="shared" si="0"/>
        <v>14846.678827256948</v>
      </c>
      <c r="M4" s="68">
        <f t="shared" si="0"/>
        <v>14846.678827256948</v>
      </c>
      <c r="N4" s="105">
        <f t="shared" ref="N4:N12" si="1">SUM(B4:M4)</f>
        <v>178160.14592708342</v>
      </c>
      <c r="Q4" s="106">
        <f>$N4*Q$3</f>
        <v>34729.412261129677</v>
      </c>
      <c r="R4" s="106">
        <f t="shared" ref="R4:V17" si="2">$N4*R$3</f>
        <v>71398.339772254258</v>
      </c>
      <c r="S4" s="106">
        <f t="shared" si="2"/>
        <v>31245.973000671551</v>
      </c>
      <c r="T4" s="106">
        <f t="shared" si="2"/>
        <v>-480.38858059237845</v>
      </c>
      <c r="U4" s="106">
        <f t="shared" si="2"/>
        <v>440.17526631953223</v>
      </c>
      <c r="V4" s="106">
        <f t="shared" si="2"/>
        <v>40826.634207300769</v>
      </c>
    </row>
    <row r="5" spans="1:23" x14ac:dyDescent="0.25">
      <c r="A5" t="s">
        <v>435</v>
      </c>
      <c r="B5" s="68">
        <f>'FC depreciation adjustment 22'!M5</f>
        <v>4930.2800000000016</v>
      </c>
      <c r="C5" s="68">
        <f t="shared" ref="C5:M12" si="3">B5</f>
        <v>4930.2800000000016</v>
      </c>
      <c r="D5" s="68">
        <f t="shared" si="3"/>
        <v>4930.2800000000016</v>
      </c>
      <c r="E5" s="68">
        <f t="shared" si="3"/>
        <v>4930.2800000000016</v>
      </c>
      <c r="F5" s="68">
        <f t="shared" si="3"/>
        <v>4930.2800000000016</v>
      </c>
      <c r="G5" s="68">
        <f t="shared" si="3"/>
        <v>4930.2800000000016</v>
      </c>
      <c r="H5" s="68">
        <f t="shared" si="3"/>
        <v>4930.2800000000016</v>
      </c>
      <c r="I5" s="68">
        <f t="shared" si="3"/>
        <v>4930.2800000000016</v>
      </c>
      <c r="J5" s="68">
        <f t="shared" si="3"/>
        <v>4930.2800000000016</v>
      </c>
      <c r="K5" s="68">
        <f t="shared" si="3"/>
        <v>4930.2800000000016</v>
      </c>
      <c r="L5" s="68">
        <f t="shared" si="3"/>
        <v>4930.2800000000016</v>
      </c>
      <c r="M5" s="68">
        <f t="shared" si="3"/>
        <v>4930.2800000000016</v>
      </c>
      <c r="N5" s="105">
        <f t="shared" si="1"/>
        <v>59163.360000000008</v>
      </c>
      <c r="Q5" s="106">
        <f t="shared" ref="Q5:Q17" si="4">$N5*Q$3</f>
        <v>11532.931282143041</v>
      </c>
      <c r="R5" s="106">
        <f t="shared" si="2"/>
        <v>23709.93612161187</v>
      </c>
      <c r="S5" s="106">
        <f t="shared" si="2"/>
        <v>10376.151970293093</v>
      </c>
      <c r="T5" s="106">
        <f t="shared" si="2"/>
        <v>-159.52727466393122</v>
      </c>
      <c r="U5" s="106">
        <f t="shared" si="2"/>
        <v>146.17325108734934</v>
      </c>
      <c r="V5" s="106">
        <f t="shared" si="2"/>
        <v>13557.694649528583</v>
      </c>
    </row>
    <row r="6" spans="1:23" x14ac:dyDescent="0.25">
      <c r="A6" t="s">
        <v>436</v>
      </c>
      <c r="B6" s="68">
        <f>'FC depreciation adjustment 22'!M6</f>
        <v>14628.43</v>
      </c>
      <c r="C6" s="68">
        <f t="shared" si="3"/>
        <v>14628.43</v>
      </c>
      <c r="D6" s="68">
        <f t="shared" si="3"/>
        <v>14628.43</v>
      </c>
      <c r="E6" s="68">
        <f t="shared" si="3"/>
        <v>14628.43</v>
      </c>
      <c r="F6" s="68">
        <f t="shared" si="3"/>
        <v>14628.43</v>
      </c>
      <c r="G6" s="68">
        <f t="shared" si="3"/>
        <v>14628.43</v>
      </c>
      <c r="H6" s="68">
        <f t="shared" si="3"/>
        <v>14628.43</v>
      </c>
      <c r="I6" s="68">
        <f t="shared" si="3"/>
        <v>14628.43</v>
      </c>
      <c r="J6" s="68">
        <f t="shared" si="3"/>
        <v>14628.43</v>
      </c>
      <c r="K6" s="68">
        <f t="shared" si="3"/>
        <v>14628.43</v>
      </c>
      <c r="L6" s="68">
        <f t="shared" si="3"/>
        <v>14628.43</v>
      </c>
      <c r="M6" s="68">
        <f t="shared" si="3"/>
        <v>14628.43</v>
      </c>
      <c r="N6" s="105">
        <f t="shared" si="1"/>
        <v>175541.15999999995</v>
      </c>
      <c r="Q6" s="106">
        <f t="shared" si="4"/>
        <v>34218.88370551767</v>
      </c>
      <c r="R6" s="106">
        <f t="shared" si="2"/>
        <v>70348.771440865545</v>
      </c>
      <c r="S6" s="106">
        <f t="shared" si="2"/>
        <v>30786.651623598362</v>
      </c>
      <c r="T6" s="106">
        <f t="shared" si="2"/>
        <v>-473.32678276124079</v>
      </c>
      <c r="U6" s="106">
        <f t="shared" si="2"/>
        <v>433.70461138185112</v>
      </c>
      <c r="V6" s="106">
        <f t="shared" si="2"/>
        <v>40226.475401397758</v>
      </c>
    </row>
    <row r="7" spans="1:23" x14ac:dyDescent="0.25">
      <c r="A7" t="s">
        <v>437</v>
      </c>
      <c r="B7" s="68">
        <f>'FC depreciation adjustment 22'!M7</f>
        <v>-553.16</v>
      </c>
      <c r="C7" s="68">
        <f t="shared" si="3"/>
        <v>-553.16</v>
      </c>
      <c r="D7" s="68">
        <f t="shared" si="3"/>
        <v>-553.16</v>
      </c>
      <c r="E7" s="68">
        <f t="shared" si="3"/>
        <v>-553.16</v>
      </c>
      <c r="F7" s="68">
        <f t="shared" si="3"/>
        <v>-553.16</v>
      </c>
      <c r="G7" s="68">
        <f t="shared" si="3"/>
        <v>-553.16</v>
      </c>
      <c r="H7" s="68">
        <f t="shared" si="3"/>
        <v>-553.16</v>
      </c>
      <c r="I7" s="68">
        <f t="shared" si="3"/>
        <v>-553.16</v>
      </c>
      <c r="J7" s="68">
        <f t="shared" si="3"/>
        <v>-553.16</v>
      </c>
      <c r="K7" s="68">
        <f t="shared" si="3"/>
        <v>-553.16</v>
      </c>
      <c r="L7" s="68">
        <f t="shared" si="3"/>
        <v>-553.16</v>
      </c>
      <c r="M7" s="68">
        <f t="shared" si="3"/>
        <v>-553.16</v>
      </c>
      <c r="N7" s="105">
        <f t="shared" si="1"/>
        <v>-6637.9199999999992</v>
      </c>
      <c r="Q7" s="106">
        <f t="shared" si="4"/>
        <v>-1293.9541502775182</v>
      </c>
      <c r="R7" s="106">
        <f t="shared" si="2"/>
        <v>-2660.171078525118</v>
      </c>
      <c r="S7" s="106">
        <f t="shared" si="2"/>
        <v>-1164.1675977606394</v>
      </c>
      <c r="T7" s="106">
        <f t="shared" si="2"/>
        <v>17.898396694122884</v>
      </c>
      <c r="U7" s="106">
        <f t="shared" si="2"/>
        <v>-16.400122421338775</v>
      </c>
      <c r="V7" s="106">
        <f t="shared" si="2"/>
        <v>-1521.1254477095072</v>
      </c>
    </row>
    <row r="8" spans="1:23" x14ac:dyDescent="0.25">
      <c r="A8" t="s">
        <v>438</v>
      </c>
      <c r="B8" s="68">
        <f>'FC depreciation adjustment 22'!M8</f>
        <v>-2204.8463067148004</v>
      </c>
      <c r="C8" s="68">
        <f t="shared" si="3"/>
        <v>-2204.8463067148004</v>
      </c>
      <c r="D8" s="68">
        <f t="shared" si="3"/>
        <v>-2204.8463067148004</v>
      </c>
      <c r="E8" s="68">
        <f t="shared" si="3"/>
        <v>-2204.8463067148004</v>
      </c>
      <c r="F8" s="68">
        <f t="shared" si="3"/>
        <v>-2204.8463067148004</v>
      </c>
      <c r="G8" s="68">
        <f t="shared" si="3"/>
        <v>-2204.8463067148004</v>
      </c>
      <c r="H8" s="68">
        <f t="shared" si="3"/>
        <v>-2204.8463067148004</v>
      </c>
      <c r="I8" s="68">
        <f t="shared" si="3"/>
        <v>-2204.8463067148004</v>
      </c>
      <c r="J8" s="68">
        <f t="shared" si="3"/>
        <v>-2204.8463067148004</v>
      </c>
      <c r="K8" s="68">
        <f t="shared" si="3"/>
        <v>-2204.8463067148004</v>
      </c>
      <c r="L8" s="68">
        <f t="shared" si="3"/>
        <v>-2204.8463067148004</v>
      </c>
      <c r="M8" s="68">
        <f t="shared" si="3"/>
        <v>-2204.8463067148004</v>
      </c>
      <c r="N8" s="105">
        <f t="shared" si="1"/>
        <v>-26458.155680577605</v>
      </c>
      <c r="Q8" s="106">
        <f t="shared" si="4"/>
        <v>-5157.5855616777681</v>
      </c>
      <c r="R8" s="106">
        <f t="shared" si="2"/>
        <v>-10603.204095949879</v>
      </c>
      <c r="S8" s="106">
        <f t="shared" si="2"/>
        <v>-4640.2679664465759</v>
      </c>
      <c r="T8" s="106">
        <f t="shared" si="2"/>
        <v>71.341409080832378</v>
      </c>
      <c r="U8" s="106">
        <f t="shared" si="2"/>
        <v>-65.369421777350851</v>
      </c>
      <c r="V8" s="106">
        <f t="shared" si="2"/>
        <v>-6063.0700438068634</v>
      </c>
    </row>
    <row r="9" spans="1:23" x14ac:dyDescent="0.25">
      <c r="A9" t="s">
        <v>439</v>
      </c>
      <c r="B9" s="68">
        <f>'FC depreciation adjustment 22'!M9</f>
        <v>3742.6899029307069</v>
      </c>
      <c r="C9" s="68">
        <f t="shared" si="3"/>
        <v>3742.6899029307069</v>
      </c>
      <c r="D9" s="68">
        <f t="shared" si="3"/>
        <v>3742.6899029307069</v>
      </c>
      <c r="E9" s="68">
        <f t="shared" si="3"/>
        <v>3742.6899029307069</v>
      </c>
      <c r="F9" s="68">
        <f t="shared" si="3"/>
        <v>3742.6899029307069</v>
      </c>
      <c r="G9" s="68">
        <f t="shared" si="3"/>
        <v>3742.6899029307069</v>
      </c>
      <c r="H9" s="68">
        <f t="shared" si="3"/>
        <v>3742.6899029307069</v>
      </c>
      <c r="I9" s="68">
        <f t="shared" si="3"/>
        <v>3742.6899029307069</v>
      </c>
      <c r="J9" s="68">
        <f t="shared" si="3"/>
        <v>3742.6899029307069</v>
      </c>
      <c r="K9" s="68">
        <f t="shared" si="3"/>
        <v>3742.6899029307069</v>
      </c>
      <c r="L9" s="68">
        <f t="shared" si="3"/>
        <v>3742.6899029307069</v>
      </c>
      <c r="M9" s="68">
        <f t="shared" si="3"/>
        <v>3742.6899029307069</v>
      </c>
      <c r="N9" s="105">
        <f t="shared" si="1"/>
        <v>44912.278835168487</v>
      </c>
      <c r="Q9" s="106">
        <f t="shared" si="4"/>
        <v>8754.9156357996799</v>
      </c>
      <c r="R9" s="106">
        <f t="shared" si="2"/>
        <v>17998.762447870868</v>
      </c>
      <c r="S9" s="106">
        <f t="shared" si="2"/>
        <v>7876.7776293619263</v>
      </c>
      <c r="T9" s="106">
        <f t="shared" si="2"/>
        <v>-121.10085433824223</v>
      </c>
      <c r="U9" s="106">
        <f t="shared" si="2"/>
        <v>110.96350530257457</v>
      </c>
      <c r="V9" s="106">
        <f t="shared" si="2"/>
        <v>10291.960471171677</v>
      </c>
    </row>
    <row r="10" spans="1:23" x14ac:dyDescent="0.25">
      <c r="A10" t="s">
        <v>440</v>
      </c>
      <c r="B10" s="68">
        <f>'FC depreciation adjustment 22'!M10</f>
        <v>5346.3599338366139</v>
      </c>
      <c r="C10" s="68">
        <f t="shared" si="3"/>
        <v>5346.3599338366139</v>
      </c>
      <c r="D10" s="68">
        <f t="shared" si="3"/>
        <v>5346.3599338366139</v>
      </c>
      <c r="E10" s="68">
        <f t="shared" si="3"/>
        <v>5346.3599338366139</v>
      </c>
      <c r="F10" s="68">
        <f t="shared" si="3"/>
        <v>5346.3599338366139</v>
      </c>
      <c r="G10" s="68">
        <f t="shared" si="3"/>
        <v>5346.3599338366139</v>
      </c>
      <c r="H10" s="68">
        <f t="shared" si="3"/>
        <v>5346.3599338366139</v>
      </c>
      <c r="I10" s="68">
        <f t="shared" si="3"/>
        <v>5346.3599338366139</v>
      </c>
      <c r="J10" s="68">
        <f t="shared" si="3"/>
        <v>5346.3599338366139</v>
      </c>
      <c r="K10" s="68">
        <f t="shared" si="3"/>
        <v>5346.3599338366139</v>
      </c>
      <c r="L10" s="68">
        <f t="shared" si="3"/>
        <v>5346.3599338366139</v>
      </c>
      <c r="M10" s="68">
        <f t="shared" si="3"/>
        <v>5346.3599338366139</v>
      </c>
      <c r="N10" s="105">
        <f t="shared" si="1"/>
        <v>64156.319206039356</v>
      </c>
      <c r="Q10" s="106">
        <f t="shared" si="4"/>
        <v>12506.227177065088</v>
      </c>
      <c r="R10" s="106">
        <f t="shared" si="2"/>
        <v>25710.883056218136</v>
      </c>
      <c r="S10" s="106">
        <f t="shared" si="2"/>
        <v>11251.824067066133</v>
      </c>
      <c r="T10" s="106">
        <f t="shared" si="2"/>
        <v>-172.99022157309329</v>
      </c>
      <c r="U10" s="106">
        <f t="shared" si="2"/>
        <v>158.50921509773147</v>
      </c>
      <c r="V10" s="106">
        <f t="shared" si="2"/>
        <v>14701.86591216536</v>
      </c>
    </row>
    <row r="11" spans="1:23" x14ac:dyDescent="0.25">
      <c r="A11" t="s">
        <v>441</v>
      </c>
      <c r="B11" s="68">
        <f>'FC depreciation adjustment 22'!M11</f>
        <v>6107.9812395321887</v>
      </c>
      <c r="C11" s="68">
        <f t="shared" si="3"/>
        <v>6107.9812395321887</v>
      </c>
      <c r="D11" s="68">
        <f t="shared" si="3"/>
        <v>6107.9812395321887</v>
      </c>
      <c r="E11" s="68">
        <f t="shared" si="3"/>
        <v>6107.9812395321887</v>
      </c>
      <c r="F11" s="68">
        <f t="shared" si="3"/>
        <v>6107.9812395321887</v>
      </c>
      <c r="G11" s="68">
        <f t="shared" si="3"/>
        <v>6107.9812395321887</v>
      </c>
      <c r="H11" s="68">
        <f t="shared" si="3"/>
        <v>6107.9812395321887</v>
      </c>
      <c r="I11" s="68">
        <f t="shared" si="3"/>
        <v>6107.9812395321887</v>
      </c>
      <c r="J11" s="68">
        <f t="shared" si="3"/>
        <v>6107.9812395321887</v>
      </c>
      <c r="K11" s="68">
        <f t="shared" si="3"/>
        <v>6107.9812395321887</v>
      </c>
      <c r="L11" s="68">
        <f t="shared" si="3"/>
        <v>6107.9812395321887</v>
      </c>
      <c r="M11" s="68">
        <f t="shared" si="3"/>
        <v>6107.9812395321887</v>
      </c>
      <c r="N11" s="105">
        <f t="shared" si="1"/>
        <v>73295.774874386261</v>
      </c>
      <c r="Q11" s="106">
        <f t="shared" si="4"/>
        <v>14287.814872206769</v>
      </c>
      <c r="R11" s="106">
        <f t="shared" si="2"/>
        <v>29373.553838993295</v>
      </c>
      <c r="S11" s="106">
        <f t="shared" si="2"/>
        <v>12854.714452948952</v>
      </c>
      <c r="T11" s="106">
        <f t="shared" si="2"/>
        <v>-197.63372482718839</v>
      </c>
      <c r="U11" s="106">
        <f t="shared" si="2"/>
        <v>181.08981140279209</v>
      </c>
      <c r="V11" s="106">
        <f t="shared" si="2"/>
        <v>16796.23562366164</v>
      </c>
    </row>
    <row r="12" spans="1:23" x14ac:dyDescent="0.25">
      <c r="A12" t="s">
        <v>442</v>
      </c>
      <c r="B12" s="68">
        <f>'FC depreciation adjustment 22'!M12</f>
        <v>730.20998732269959</v>
      </c>
      <c r="C12" s="68">
        <f t="shared" si="3"/>
        <v>730.20998732269959</v>
      </c>
      <c r="D12" s="68">
        <f t="shared" si="3"/>
        <v>730.20998732269959</v>
      </c>
      <c r="E12" s="68">
        <f t="shared" si="3"/>
        <v>730.20998732269959</v>
      </c>
      <c r="F12" s="68">
        <f t="shared" si="3"/>
        <v>730.20998732269959</v>
      </c>
      <c r="G12" s="68">
        <f t="shared" si="3"/>
        <v>730.20998732269959</v>
      </c>
      <c r="H12" s="68">
        <f t="shared" si="3"/>
        <v>730.20998732269959</v>
      </c>
      <c r="I12" s="68">
        <f t="shared" si="3"/>
        <v>730.20998732269959</v>
      </c>
      <c r="J12" s="68">
        <f t="shared" si="3"/>
        <v>730.20998732269959</v>
      </c>
      <c r="K12" s="68">
        <f t="shared" si="3"/>
        <v>730.20998732269959</v>
      </c>
      <c r="L12" s="68">
        <f t="shared" si="3"/>
        <v>730.20998732269959</v>
      </c>
      <c r="M12" s="68">
        <f t="shared" si="3"/>
        <v>730.20998732269959</v>
      </c>
      <c r="N12" s="105">
        <f t="shared" si="1"/>
        <v>8762.519847872396</v>
      </c>
      <c r="Q12" s="106">
        <f t="shared" si="4"/>
        <v>1708.1102098313352</v>
      </c>
      <c r="R12" s="106">
        <f t="shared" si="2"/>
        <v>3511.612353615661</v>
      </c>
      <c r="S12" s="106">
        <f t="shared" si="2"/>
        <v>1536.7828599361746</v>
      </c>
      <c r="T12" s="106">
        <f t="shared" si="2"/>
        <v>-23.627138663518913</v>
      </c>
      <c r="U12" s="106">
        <f t="shared" si="2"/>
        <v>21.649311565146633</v>
      </c>
      <c r="V12" s="106">
        <f t="shared" si="2"/>
        <v>2007.9922515875971</v>
      </c>
    </row>
    <row r="13" spans="1:23" x14ac:dyDescent="0.25">
      <c r="A13" t="s">
        <v>443</v>
      </c>
      <c r="B13" s="71">
        <f>SUM(B3:B12)</f>
        <v>47574.623584164343</v>
      </c>
      <c r="C13" s="71">
        <f t="shared" ref="C13:N13" si="5">SUM(C3:C12)</f>
        <v>47574.623584164343</v>
      </c>
      <c r="D13" s="71">
        <f t="shared" si="5"/>
        <v>47574.623584164343</v>
      </c>
      <c r="E13" s="71">
        <f t="shared" si="5"/>
        <v>47574.623584164343</v>
      </c>
      <c r="F13" s="71">
        <f t="shared" si="5"/>
        <v>47574.623584164343</v>
      </c>
      <c r="G13" s="71">
        <f t="shared" si="5"/>
        <v>47574.623584164343</v>
      </c>
      <c r="H13" s="71">
        <f t="shared" si="5"/>
        <v>47574.623584164343</v>
      </c>
      <c r="I13" s="71">
        <f t="shared" si="5"/>
        <v>47574.623584164343</v>
      </c>
      <c r="J13" s="71">
        <f t="shared" si="5"/>
        <v>47574.623584164343</v>
      </c>
      <c r="K13" s="71">
        <f t="shared" si="5"/>
        <v>47574.623584164343</v>
      </c>
      <c r="L13" s="71">
        <f t="shared" si="5"/>
        <v>47574.623584164343</v>
      </c>
      <c r="M13" s="71">
        <f t="shared" si="5"/>
        <v>47574.623584164343</v>
      </c>
      <c r="N13" s="71">
        <f t="shared" si="5"/>
        <v>570895.48300997238</v>
      </c>
      <c r="Q13" s="107">
        <f t="shared" si="4"/>
        <v>111286.75543173798</v>
      </c>
      <c r="R13" s="107">
        <f t="shared" si="2"/>
        <v>228788.48385695467</v>
      </c>
      <c r="S13" s="107">
        <f t="shared" si="2"/>
        <v>100124.44003966899</v>
      </c>
      <c r="T13" s="107">
        <f t="shared" si="2"/>
        <v>-1539.3547716446383</v>
      </c>
      <c r="U13" s="107">
        <f t="shared" si="2"/>
        <v>1410.495427958288</v>
      </c>
      <c r="V13" s="107">
        <f t="shared" si="2"/>
        <v>130824.66302529704</v>
      </c>
      <c r="W13" s="67" t="s">
        <v>444</v>
      </c>
    </row>
    <row r="14" spans="1:23" x14ac:dyDescent="0.25">
      <c r="Q14" s="106">
        <f t="shared" si="4"/>
        <v>0</v>
      </c>
      <c r="R14" s="106">
        <f t="shared" si="2"/>
        <v>0</v>
      </c>
      <c r="S14" s="106">
        <f t="shared" si="2"/>
        <v>0</v>
      </c>
      <c r="T14" s="106">
        <f t="shared" si="2"/>
        <v>0</v>
      </c>
      <c r="U14" s="106">
        <f t="shared" si="2"/>
        <v>0</v>
      </c>
      <c r="V14" s="106">
        <f t="shared" si="2"/>
        <v>0</v>
      </c>
    </row>
    <row r="15" spans="1:23" x14ac:dyDescent="0.25">
      <c r="A15" s="67" t="s">
        <v>445</v>
      </c>
      <c r="B15" s="105">
        <f>-B9-B10</f>
        <v>-9089.0498367673208</v>
      </c>
      <c r="C15" s="105">
        <f t="shared" ref="C15:N15" si="6">-C9-C10</f>
        <v>-9089.0498367673208</v>
      </c>
      <c r="D15" s="105">
        <f t="shared" si="6"/>
        <v>-9089.0498367673208</v>
      </c>
      <c r="E15" s="105">
        <f t="shared" si="6"/>
        <v>-9089.0498367673208</v>
      </c>
      <c r="F15" s="105">
        <f t="shared" si="6"/>
        <v>-9089.0498367673208</v>
      </c>
      <c r="G15" s="105">
        <f t="shared" si="6"/>
        <v>-9089.0498367673208</v>
      </c>
      <c r="H15" s="105">
        <f t="shared" si="6"/>
        <v>-9089.0498367673208</v>
      </c>
      <c r="I15" s="105">
        <f t="shared" si="6"/>
        <v>-9089.0498367673208</v>
      </c>
      <c r="J15" s="105">
        <f t="shared" si="6"/>
        <v>-9089.0498367673208</v>
      </c>
      <c r="K15" s="105">
        <f t="shared" si="6"/>
        <v>-9089.0498367673208</v>
      </c>
      <c r="L15" s="105">
        <f t="shared" si="6"/>
        <v>-9089.0498367673208</v>
      </c>
      <c r="M15" s="105">
        <f t="shared" si="6"/>
        <v>-9089.0498367673208</v>
      </c>
      <c r="N15" s="105">
        <f t="shared" si="6"/>
        <v>-109068.59804120785</v>
      </c>
      <c r="Q15" s="106">
        <f t="shared" si="4"/>
        <v>-21261.142812864768</v>
      </c>
      <c r="R15" s="106">
        <f t="shared" si="2"/>
        <v>-43709.645504089007</v>
      </c>
      <c r="S15" s="106">
        <f t="shared" si="2"/>
        <v>-19128.601696428061</v>
      </c>
      <c r="T15" s="106">
        <f t="shared" si="2"/>
        <v>294.09107591133557</v>
      </c>
      <c r="U15" s="106">
        <f t="shared" si="2"/>
        <v>-269.47272040030606</v>
      </c>
      <c r="V15" s="106">
        <f t="shared" si="2"/>
        <v>-24993.826383337037</v>
      </c>
    </row>
    <row r="16" spans="1:23" x14ac:dyDescent="0.25">
      <c r="Q16" s="106">
        <f t="shared" si="4"/>
        <v>0</v>
      </c>
      <c r="R16" s="106">
        <f t="shared" si="2"/>
        <v>0</v>
      </c>
      <c r="S16" s="106">
        <f t="shared" si="2"/>
        <v>0</v>
      </c>
      <c r="T16" s="106">
        <f t="shared" si="2"/>
        <v>0</v>
      </c>
      <c r="U16" s="106">
        <f t="shared" si="2"/>
        <v>0</v>
      </c>
      <c r="V16" s="106">
        <f t="shared" si="2"/>
        <v>0</v>
      </c>
    </row>
    <row r="17" spans="1:23" ht="15.75" thickBot="1" x14ac:dyDescent="0.3">
      <c r="A17" s="67" t="s">
        <v>446</v>
      </c>
      <c r="B17" s="111">
        <f>B13+B15</f>
        <v>38485.573747397022</v>
      </c>
      <c r="C17" s="111">
        <f t="shared" ref="C17:N17" si="7">C13+C15</f>
        <v>38485.573747397022</v>
      </c>
      <c r="D17" s="111">
        <f t="shared" si="7"/>
        <v>38485.573747397022</v>
      </c>
      <c r="E17" s="111">
        <f t="shared" si="7"/>
        <v>38485.573747397022</v>
      </c>
      <c r="F17" s="111">
        <f t="shared" si="7"/>
        <v>38485.573747397022</v>
      </c>
      <c r="G17" s="111">
        <f t="shared" si="7"/>
        <v>38485.573747397022</v>
      </c>
      <c r="H17" s="111">
        <f t="shared" si="7"/>
        <v>38485.573747397022</v>
      </c>
      <c r="I17" s="111">
        <f t="shared" si="7"/>
        <v>38485.573747397022</v>
      </c>
      <c r="J17" s="111">
        <f t="shared" si="7"/>
        <v>38485.573747397022</v>
      </c>
      <c r="K17" s="111">
        <f t="shared" si="7"/>
        <v>38485.573747397022</v>
      </c>
      <c r="L17" s="111">
        <f t="shared" si="7"/>
        <v>38485.573747397022</v>
      </c>
      <c r="M17" s="111">
        <f t="shared" si="7"/>
        <v>38485.573747397022</v>
      </c>
      <c r="N17" s="111">
        <f t="shared" si="7"/>
        <v>461826.8849687645</v>
      </c>
      <c r="Q17" s="108">
        <f t="shared" si="4"/>
        <v>90025.612618873216</v>
      </c>
      <c r="R17" s="108">
        <f t="shared" si="2"/>
        <v>185078.83835286566</v>
      </c>
      <c r="S17" s="108">
        <f t="shared" si="2"/>
        <v>80995.838343240932</v>
      </c>
      <c r="T17" s="108">
        <f t="shared" si="2"/>
        <v>-1245.2636957333027</v>
      </c>
      <c r="U17" s="108">
        <f t="shared" si="2"/>
        <v>1141.0227075579819</v>
      </c>
      <c r="V17" s="108">
        <f t="shared" si="2"/>
        <v>105830.83664195999</v>
      </c>
      <c r="W17" s="67" t="s">
        <v>447</v>
      </c>
    </row>
    <row r="18" spans="1:23" ht="15.75" thickTop="1" x14ac:dyDescent="0.25"/>
  </sheetData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 A C T I V E ! 1 5 6 7 6 6 6 3 . 1 < / d o c u m e n t i d >  
     < s e n d e r i d > K E A B E T < / s e n d e r i d >  
     < s e n d e r e m a i l > B K E A T I N G @ G U N S T E R . C O M < / s e n d e r e m a i l >  
     < l a s t m o d i f i e d > 2 0 2 2 - 0 2 - 2 8 T 1 7 : 2 4 : 2 4 . 0 0 0 0 0 0 0 - 0 5 : 0 0 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working capital and def tax 21</vt:lpstr>
      <vt:lpstr>WC def tax 22</vt:lpstr>
      <vt:lpstr>WC def tax 23</vt:lpstr>
      <vt:lpstr>FC common plant 21</vt:lpstr>
      <vt:lpstr>FC Common pl 22</vt:lpstr>
      <vt:lpstr>FC common pl 23</vt:lpstr>
      <vt:lpstr>FC depreciation adjustment 21</vt:lpstr>
      <vt:lpstr>FC depreciation adjustment 22</vt:lpstr>
      <vt:lpstr>FC depreciation adjustment 23</vt:lpstr>
      <vt:lpstr>Corporate and Skipjack Alloc 21</vt:lpstr>
      <vt:lpstr>CU and Skipjack 22</vt:lpstr>
      <vt:lpstr>CU and Skipjack 23</vt:lpstr>
      <vt:lpstr>Allocation Factors 21</vt:lpstr>
      <vt:lpstr>Allocation Factors 22</vt:lpstr>
      <vt:lpstr>Allocation Factors 23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Baugh, Jowi</cp:lastModifiedBy>
  <dcterms:created xsi:type="dcterms:W3CDTF">2022-02-11T11:53:44Z</dcterms:created>
  <dcterms:modified xsi:type="dcterms:W3CDTF">2022-02-28T22:24:24Z</dcterms:modified>
</cp:coreProperties>
</file>